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3740" tabRatio="304" activeTab="1"/>
  </bookViews>
  <sheets>
    <sheet name="NSDP thang" sheetId="11" r:id="rId1"/>
    <sheet name="Tổng hợp" sheetId="12" r:id="rId2"/>
  </sheets>
  <externalReferences>
    <externalReference r:id="rId3"/>
    <externalReference r:id="rId4"/>
  </externalReferences>
  <definedNames>
    <definedName name="_xlnm.Print_Area" localSheetId="0">'NSDP thang'!$A$1:$AH$386</definedName>
    <definedName name="_xlnm.Print_Area" localSheetId="1">'Tổng hợp'!$A$1:$AG$47</definedName>
    <definedName name="_xlnm.Print_Titles" localSheetId="0">'NSDP thang'!$6:$8</definedName>
  </definedNames>
  <calcPr calcId="144525"/>
</workbook>
</file>

<file path=xl/calcChain.xml><?xml version="1.0" encoding="utf-8"?>
<calcChain xmlns="http://schemas.openxmlformats.org/spreadsheetml/2006/main">
  <c r="T39" i="12" l="1"/>
  <c r="Z5" i="12"/>
  <c r="A3" i="12" l="1"/>
  <c r="A4" i="12"/>
  <c r="T17" i="12"/>
  <c r="T15" i="12"/>
  <c r="AC386" i="11" l="1"/>
  <c r="AC385" i="11"/>
  <c r="AC384" i="11"/>
  <c r="AC383" i="11" s="1"/>
  <c r="AG383" i="11"/>
  <c r="AF383" i="11"/>
  <c r="AE383" i="11"/>
  <c r="AD383" i="11"/>
  <c r="AG382" i="11"/>
  <c r="AG380" i="11" s="1"/>
  <c r="AG379" i="11" s="1"/>
  <c r="AC382" i="11"/>
  <c r="AC381" i="11"/>
  <c r="AF380" i="11"/>
  <c r="AF379" i="11" s="1"/>
  <c r="AE380" i="11"/>
  <c r="AE379" i="11" s="1"/>
  <c r="AD380" i="11"/>
  <c r="AD379" i="11" s="1"/>
  <c r="AC380" i="11"/>
  <c r="AC378" i="11"/>
  <c r="AC377" i="11"/>
  <c r="AC376" i="11"/>
  <c r="AC375" i="11"/>
  <c r="AC374" i="11" s="1"/>
  <c r="AG374" i="11"/>
  <c r="AF374" i="11"/>
  <c r="AE374" i="11"/>
  <c r="AD374" i="11"/>
  <c r="AC373" i="11"/>
  <c r="AC372" i="11" s="1"/>
  <c r="AG372" i="11"/>
  <c r="AF372" i="11"/>
  <c r="AE372" i="11"/>
  <c r="AD372" i="11"/>
  <c r="AG371" i="11"/>
  <c r="AC371" i="11"/>
  <c r="AC370" i="11"/>
  <c r="AC369" i="11"/>
  <c r="AC368" i="11"/>
  <c r="AG367" i="11"/>
  <c r="AC367" i="11"/>
  <c r="AC366" i="11"/>
  <c r="AC365" i="11" s="1"/>
  <c r="AC364" i="11" s="1"/>
  <c r="AG365" i="11"/>
  <c r="AG364" i="11" s="1"/>
  <c r="AF365" i="11"/>
  <c r="AF364" i="11" s="1"/>
  <c r="AE365" i="11"/>
  <c r="AE364" i="11" s="1"/>
  <c r="AE363" i="11" s="1"/>
  <c r="AD365" i="11"/>
  <c r="AD364" i="11"/>
  <c r="AD363" i="11" s="1"/>
  <c r="AC362" i="11"/>
  <c r="AC361" i="11"/>
  <c r="AC360" i="11"/>
  <c r="AC359" i="11"/>
  <c r="AE358" i="11"/>
  <c r="AE339" i="11" s="1"/>
  <c r="AC358" i="11"/>
  <c r="AC357" i="11"/>
  <c r="AC356" i="11"/>
  <c r="AC355" i="11"/>
  <c r="AC354" i="11"/>
  <c r="AC353" i="11"/>
  <c r="AC352" i="11"/>
  <c r="AC351" i="11"/>
  <c r="AC350" i="11"/>
  <c r="AC349" i="11"/>
  <c r="AC348" i="11"/>
  <c r="AC347" i="11"/>
  <c r="AC346" i="11"/>
  <c r="AC345" i="11"/>
  <c r="AC344" i="11"/>
  <c r="AC343" i="11"/>
  <c r="AC342" i="11"/>
  <c r="AC341" i="11"/>
  <c r="AC340" i="11"/>
  <c r="AG339" i="11"/>
  <c r="AF339" i="11"/>
  <c r="AD339" i="11"/>
  <c r="AC339" i="11"/>
  <c r="AC338" i="11"/>
  <c r="AC337" i="11"/>
  <c r="AC336" i="11"/>
  <c r="AC335" i="11"/>
  <c r="AC334" i="11"/>
  <c r="AC333" i="11"/>
  <c r="AC332" i="11"/>
  <c r="AC331" i="11"/>
  <c r="AC330" i="11"/>
  <c r="AC329" i="11"/>
  <c r="AC328" i="11"/>
  <c r="AC327" i="11"/>
  <c r="AC326" i="11"/>
  <c r="AC325" i="11"/>
  <c r="AC324" i="11"/>
  <c r="AC323" i="11"/>
  <c r="AC322" i="11"/>
  <c r="AC321" i="11"/>
  <c r="AC320" i="11"/>
  <c r="AC319" i="11"/>
  <c r="AC318" i="11"/>
  <c r="AC317" i="11"/>
  <c r="AC316" i="11"/>
  <c r="AC315" i="11"/>
  <c r="AC314" i="11"/>
  <c r="AC313" i="11"/>
  <c r="AC312" i="11"/>
  <c r="AC311" i="11"/>
  <c r="AC310" i="11"/>
  <c r="AC309" i="11"/>
  <c r="AC308" i="11"/>
  <c r="AC307" i="11"/>
  <c r="AC306" i="11"/>
  <c r="AC305" i="11"/>
  <c r="AC304" i="11"/>
  <c r="AC303" i="11"/>
  <c r="AC302" i="11"/>
  <c r="AC301" i="11"/>
  <c r="AC300" i="11"/>
  <c r="AC299" i="11"/>
  <c r="AC298" i="11"/>
  <c r="AC297" i="11"/>
  <c r="AC296" i="11"/>
  <c r="AG295" i="11"/>
  <c r="AF295" i="11"/>
  <c r="AF294" i="11" s="1"/>
  <c r="AE295" i="11"/>
  <c r="AD295" i="11"/>
  <c r="AD294" i="11" s="1"/>
  <c r="AC295" i="11"/>
  <c r="AC294" i="11" s="1"/>
  <c r="AG294" i="11"/>
  <c r="AC293" i="11"/>
  <c r="AD292" i="11"/>
  <c r="AC292" i="11" s="1"/>
  <c r="AD291" i="11"/>
  <c r="AC291" i="11"/>
  <c r="AE290" i="11"/>
  <c r="AE285" i="11" s="1"/>
  <c r="AE284" i="11" s="1"/>
  <c r="AD290" i="11"/>
  <c r="AD285" i="11" s="1"/>
  <c r="AD284" i="11" s="1"/>
  <c r="AC289" i="11"/>
  <c r="AC288" i="11"/>
  <c r="AC287" i="11"/>
  <c r="AC286" i="11"/>
  <c r="AG285" i="11"/>
  <c r="AG284" i="11" s="1"/>
  <c r="AF285" i="11"/>
  <c r="AF284" i="11"/>
  <c r="AE283" i="11"/>
  <c r="AC283" i="11"/>
  <c r="AE282" i="11"/>
  <c r="AC282" i="11" s="1"/>
  <c r="AE281" i="11"/>
  <c r="AC281" i="11"/>
  <c r="AE280" i="11"/>
  <c r="AC280" i="11"/>
  <c r="AE279" i="11"/>
  <c r="AE278" i="11" s="1"/>
  <c r="AE277" i="11" s="1"/>
  <c r="AG278" i="11"/>
  <c r="AF278" i="11"/>
  <c r="AF277" i="11" s="1"/>
  <c r="AD278" i="11"/>
  <c r="AD277" i="11" s="1"/>
  <c r="AG277" i="11"/>
  <c r="AC276" i="11"/>
  <c r="AD275" i="11"/>
  <c r="AC275" i="11" s="1"/>
  <c r="AE274" i="11"/>
  <c r="AC274" i="11"/>
  <c r="AC273" i="11" s="1"/>
  <c r="AC272" i="11" s="1"/>
  <c r="AG273" i="11"/>
  <c r="AG272" i="11" s="1"/>
  <c r="AG188" i="11" s="1"/>
  <c r="AF273" i="11"/>
  <c r="AF272" i="11" s="1"/>
  <c r="AE273" i="11"/>
  <c r="AE272" i="11"/>
  <c r="AE271" i="11"/>
  <c r="AE269" i="11" s="1"/>
  <c r="AC271" i="11"/>
  <c r="AC270" i="11"/>
  <c r="AC269" i="11" s="1"/>
  <c r="AG269" i="11"/>
  <c r="AF269" i="11"/>
  <c r="AD269" i="11"/>
  <c r="AE268" i="11"/>
  <c r="AC268" i="11"/>
  <c r="AE267" i="11"/>
  <c r="AC267" i="11" s="1"/>
  <c r="AC266" i="11"/>
  <c r="AE265" i="11"/>
  <c r="AC265" i="11"/>
  <c r="AC264" i="11"/>
  <c r="AE263" i="11"/>
  <c r="AC263" i="11" s="1"/>
  <c r="AC262" i="11"/>
  <c r="AC261" i="11"/>
  <c r="AG260" i="11"/>
  <c r="AF260" i="11"/>
  <c r="AE260" i="11"/>
  <c r="AD260" i="11"/>
  <c r="AE259" i="11"/>
  <c r="AC259" i="11"/>
  <c r="AE258" i="11"/>
  <c r="AC258" i="11" s="1"/>
  <c r="AC257" i="11"/>
  <c r="AC256" i="11"/>
  <c r="AG255" i="11"/>
  <c r="AF255" i="11"/>
  <c r="AE255" i="11"/>
  <c r="AD255" i="11"/>
  <c r="AE254" i="11"/>
  <c r="AC254" i="11"/>
  <c r="AE253" i="11"/>
  <c r="AC253" i="11"/>
  <c r="AE252" i="11"/>
  <c r="AE248" i="11" s="1"/>
  <c r="AE251" i="11"/>
  <c r="AC251" i="11"/>
  <c r="AC250" i="11"/>
  <c r="AC249" i="11"/>
  <c r="AG248" i="11"/>
  <c r="AF248" i="11"/>
  <c r="AD248" i="11"/>
  <c r="AE247" i="11"/>
  <c r="AC247" i="11" s="1"/>
  <c r="AC246" i="11"/>
  <c r="AE245" i="11"/>
  <c r="AC245" i="11"/>
  <c r="AE244" i="11"/>
  <c r="AC244" i="11"/>
  <c r="AC243" i="11"/>
  <c r="AE242" i="11"/>
  <c r="AC242" i="11"/>
  <c r="AE241" i="11"/>
  <c r="AC241" i="11"/>
  <c r="AE240" i="11"/>
  <c r="AC240" i="11" s="1"/>
  <c r="AC239" i="11"/>
  <c r="AC238" i="11"/>
  <c r="AE237" i="11"/>
  <c r="AC237" i="11"/>
  <c r="AC236" i="11"/>
  <c r="AE235" i="11"/>
  <c r="AC235" i="11" s="1"/>
  <c r="AE234" i="11"/>
  <c r="AC234" i="11"/>
  <c r="AE233" i="11"/>
  <c r="AC233" i="11"/>
  <c r="AE232" i="11"/>
  <c r="AC232" i="11" s="1"/>
  <c r="AE231" i="11"/>
  <c r="AC231" i="11"/>
  <c r="AE230" i="11"/>
  <c r="AC230" i="11"/>
  <c r="AE229" i="11"/>
  <c r="AC229" i="11" s="1"/>
  <c r="AC228" i="11"/>
  <c r="AE227" i="11"/>
  <c r="AC227" i="11"/>
  <c r="AE226" i="11"/>
  <c r="AC226" i="11" s="1"/>
  <c r="AE225" i="11"/>
  <c r="AC225" i="11"/>
  <c r="AE224" i="11"/>
  <c r="AC224" i="11"/>
  <c r="AE223" i="11"/>
  <c r="AC223" i="11" s="1"/>
  <c r="AE222" i="11"/>
  <c r="AC222" i="11"/>
  <c r="AE221" i="11"/>
  <c r="AC221" i="11"/>
  <c r="AE220" i="11"/>
  <c r="AC220" i="11" s="1"/>
  <c r="AE219" i="11"/>
  <c r="AC219" i="11"/>
  <c r="AE218" i="11"/>
  <c r="AC218" i="11"/>
  <c r="AE217" i="11"/>
  <c r="AC217" i="11" s="1"/>
  <c r="AE216" i="11"/>
  <c r="AC216" i="11"/>
  <c r="AC215" i="11"/>
  <c r="AE214" i="11"/>
  <c r="AC214" i="11"/>
  <c r="AE213" i="11"/>
  <c r="AC213" i="11" s="1"/>
  <c r="AC212" i="11"/>
  <c r="AE211" i="11"/>
  <c r="AC211" i="11"/>
  <c r="AE210" i="11"/>
  <c r="AC210" i="11" s="1"/>
  <c r="AE209" i="11"/>
  <c r="AC209" i="11"/>
  <c r="AE208" i="11"/>
  <c r="AC208" i="11"/>
  <c r="AE207" i="11"/>
  <c r="AE191" i="11" s="1"/>
  <c r="AE206" i="11"/>
  <c r="AC206" i="11"/>
  <c r="AE205" i="11"/>
  <c r="AC205" i="11"/>
  <c r="AC204" i="11"/>
  <c r="AC203" i="11"/>
  <c r="AC202" i="11"/>
  <c r="AC201" i="11"/>
  <c r="AD200" i="11"/>
  <c r="AC200" i="11"/>
  <c r="AC199" i="11"/>
  <c r="AC198" i="11"/>
  <c r="AC197" i="11"/>
  <c r="AC196" i="11"/>
  <c r="AC195" i="11"/>
  <c r="AC194" i="11"/>
  <c r="AC193" i="11"/>
  <c r="AC192" i="11"/>
  <c r="AG191" i="11"/>
  <c r="AF191" i="11"/>
  <c r="AF190" i="11" s="1"/>
  <c r="AF188" i="11" s="1"/>
  <c r="AD191" i="11"/>
  <c r="AD190" i="11" s="1"/>
  <c r="AG190" i="11"/>
  <c r="AC189" i="11"/>
  <c r="AC187" i="11"/>
  <c r="AC186" i="11"/>
  <c r="AC185" i="11"/>
  <c r="AC184" i="11"/>
  <c r="AC183" i="11"/>
  <c r="AC182" i="11"/>
  <c r="AC181" i="11"/>
  <c r="AC180" i="11"/>
  <c r="AG179" i="11"/>
  <c r="AF179" i="11"/>
  <c r="AE179" i="11"/>
  <c r="AD179" i="11"/>
  <c r="AC179" i="11"/>
  <c r="AC177" i="11" s="1"/>
  <c r="AG178" i="11"/>
  <c r="AG177" i="11" s="1"/>
  <c r="AF178" i="11"/>
  <c r="AD178" i="11"/>
  <c r="AF177" i="11"/>
  <c r="AE177" i="11"/>
  <c r="AD177" i="11"/>
  <c r="AC116" i="11"/>
  <c r="AC115" i="11"/>
  <c r="AC114" i="11"/>
  <c r="AC113" i="11"/>
  <c r="AC110" i="11" s="1"/>
  <c r="AC112" i="11"/>
  <c r="AC111" i="11"/>
  <c r="AG110" i="11"/>
  <c r="AF110" i="11"/>
  <c r="AE110" i="11"/>
  <c r="AD110" i="11"/>
  <c r="AC109" i="11"/>
  <c r="AC108" i="11"/>
  <c r="AC107" i="11"/>
  <c r="AC106" i="11"/>
  <c r="AC105" i="11"/>
  <c r="AC104" i="11" s="1"/>
  <c r="AG104" i="11"/>
  <c r="AF104" i="11"/>
  <c r="AE104" i="11"/>
  <c r="AE103" i="11" s="1"/>
  <c r="AD104" i="11"/>
  <c r="AD103" i="11" s="1"/>
  <c r="AG103" i="11"/>
  <c r="AF103" i="11"/>
  <c r="AF102" i="11"/>
  <c r="AF101" i="11" s="1"/>
  <c r="AC102" i="11"/>
  <c r="AC101" i="11" s="1"/>
  <c r="AG101" i="11"/>
  <c r="AE101" i="11"/>
  <c r="AD101" i="11"/>
  <c r="AC100" i="11"/>
  <c r="AC99" i="11"/>
  <c r="AG98" i="11"/>
  <c r="AF98" i="11"/>
  <c r="AE98" i="11"/>
  <c r="AE97" i="11" s="1"/>
  <c r="AD98" i="11"/>
  <c r="AD97" i="11" s="1"/>
  <c r="AC98" i="11"/>
  <c r="AC97" i="11" s="1"/>
  <c r="AG97" i="11"/>
  <c r="AC96" i="11"/>
  <c r="AF95" i="11"/>
  <c r="AC95" i="11" s="1"/>
  <c r="AF94" i="11"/>
  <c r="AC94" i="11"/>
  <c r="AC93" i="11"/>
  <c r="AF92" i="11"/>
  <c r="AF90" i="11" s="1"/>
  <c r="AC91" i="11"/>
  <c r="AG90" i="11"/>
  <c r="AE90" i="11"/>
  <c r="AD90" i="11"/>
  <c r="AC89" i="11"/>
  <c r="AG88" i="11"/>
  <c r="AG87" i="11" s="1"/>
  <c r="AF88" i="11"/>
  <c r="AE88" i="11"/>
  <c r="AE87" i="11" s="1"/>
  <c r="AD88" i="11"/>
  <c r="AD87" i="11" s="1"/>
  <c r="AC88" i="11"/>
  <c r="AC86" i="11"/>
  <c r="AG85" i="11"/>
  <c r="AF85" i="11"/>
  <c r="AE85" i="11"/>
  <c r="AD85" i="11"/>
  <c r="AC85" i="11"/>
  <c r="AF84" i="11"/>
  <c r="AC84" i="11" s="1"/>
  <c r="AC83" i="11"/>
  <c r="AF82" i="11"/>
  <c r="AF74" i="11" s="1"/>
  <c r="AF73" i="11" s="1"/>
  <c r="AC82" i="11"/>
  <c r="AC81" i="11"/>
  <c r="AC80" i="11"/>
  <c r="AC79" i="11"/>
  <c r="AC78" i="11"/>
  <c r="AC77" i="11"/>
  <c r="AC76" i="11"/>
  <c r="AC75" i="11"/>
  <c r="AG74" i="11"/>
  <c r="AE74" i="11"/>
  <c r="AE73" i="11" s="1"/>
  <c r="AD74" i="11"/>
  <c r="AD73" i="11" s="1"/>
  <c r="AG73" i="11"/>
  <c r="AC72" i="11"/>
  <c r="AC71" i="11" s="1"/>
  <c r="AG71" i="11"/>
  <c r="AF71" i="11"/>
  <c r="AE71" i="11"/>
  <c r="AD71" i="11"/>
  <c r="AC70" i="11"/>
  <c r="AC69" i="11" s="1"/>
  <c r="AG69" i="11"/>
  <c r="AF69" i="11"/>
  <c r="AE69" i="11"/>
  <c r="AD69" i="11"/>
  <c r="AC68" i="11"/>
  <c r="AC67" i="11"/>
  <c r="AC66" i="11"/>
  <c r="AG65" i="11"/>
  <c r="AF65" i="11"/>
  <c r="AE65" i="11"/>
  <c r="AD65" i="11"/>
  <c r="AC65" i="11"/>
  <c r="AF64" i="11"/>
  <c r="AC64" i="11" s="1"/>
  <c r="AC63" i="11"/>
  <c r="AF62" i="11"/>
  <c r="AC62" i="11"/>
  <c r="AC61" i="11" s="1"/>
  <c r="AG61" i="11"/>
  <c r="AF61" i="11"/>
  <c r="AE61" i="11"/>
  <c r="AD61" i="11"/>
  <c r="AC60" i="11"/>
  <c r="AF59" i="11"/>
  <c r="AC59" i="11" s="1"/>
  <c r="AC58" i="11"/>
  <c r="AC57" i="11"/>
  <c r="AC56" i="11"/>
  <c r="AC55" i="11"/>
  <c r="AC54" i="11"/>
  <c r="AC53" i="11"/>
  <c r="AC52" i="11"/>
  <c r="AC51" i="11"/>
  <c r="AC50" i="11"/>
  <c r="AC49" i="11"/>
  <c r="AC48" i="11"/>
  <c r="AC47" i="11"/>
  <c r="AF46" i="11"/>
  <c r="AC46" i="11"/>
  <c r="AF45" i="11"/>
  <c r="AF43" i="11" s="1"/>
  <c r="AF42" i="11" s="1"/>
  <c r="AC45" i="11"/>
  <c r="AC44" i="11"/>
  <c r="AG43" i="11"/>
  <c r="AE43" i="11"/>
  <c r="AE42" i="11" s="1"/>
  <c r="AD43" i="11"/>
  <c r="AD42" i="11" s="1"/>
  <c r="AG42" i="11"/>
  <c r="AC41" i="11"/>
  <c r="AC40" i="11" s="1"/>
  <c r="AG40" i="11"/>
  <c r="AG24" i="11" s="1"/>
  <c r="AG23" i="11" s="1"/>
  <c r="AG21" i="11" s="1"/>
  <c r="AG20" i="11" s="1"/>
  <c r="AF40" i="11"/>
  <c r="AE40" i="11"/>
  <c r="AD40" i="11"/>
  <c r="AF39" i="11"/>
  <c r="AF36" i="11" s="1"/>
  <c r="AC39" i="11"/>
  <c r="AC36" i="11" s="1"/>
  <c r="AC38" i="11"/>
  <c r="AC37" i="11"/>
  <c r="AG36" i="11"/>
  <c r="AE36" i="11"/>
  <c r="AD36" i="11"/>
  <c r="AC35" i="11"/>
  <c r="AC34" i="11"/>
  <c r="AC33" i="11"/>
  <c r="AC32" i="11"/>
  <c r="AC31" i="11"/>
  <c r="AF30" i="11"/>
  <c r="AC30" i="11" s="1"/>
  <c r="AC25" i="11" s="1"/>
  <c r="AC29" i="11"/>
  <c r="AF28" i="11"/>
  <c r="AF25" i="11" s="1"/>
  <c r="AF24" i="11" s="1"/>
  <c r="AF23" i="11" s="1"/>
  <c r="AF21" i="11" s="1"/>
  <c r="AC28" i="11"/>
  <c r="AC27" i="11"/>
  <c r="AC26" i="11"/>
  <c r="AG25" i="11"/>
  <c r="AE25" i="11"/>
  <c r="AE24" i="11" s="1"/>
  <c r="AD25" i="11"/>
  <c r="AD24" i="11" s="1"/>
  <c r="AD23" i="11" s="1"/>
  <c r="AD21" i="11" s="1"/>
  <c r="AD20" i="11" s="1"/>
  <c r="AC18" i="11"/>
  <c r="AG16" i="11"/>
  <c r="AF16" i="11"/>
  <c r="AE16" i="11"/>
  <c r="AD16" i="11"/>
  <c r="AC16" i="11"/>
  <c r="AC15" i="11"/>
  <c r="AG14" i="11"/>
  <c r="AG13" i="11" s="1"/>
  <c r="AG10" i="11" s="1"/>
  <c r="AF14" i="11"/>
  <c r="AF13" i="11" s="1"/>
  <c r="AE14" i="11"/>
  <c r="AE13" i="11" s="1"/>
  <c r="AD14" i="11"/>
  <c r="AD13" i="11" s="1"/>
  <c r="AC14" i="11"/>
  <c r="AC13" i="11"/>
  <c r="AC12" i="11"/>
  <c r="AG11" i="11"/>
  <c r="AF11" i="11"/>
  <c r="AF10" i="11" s="1"/>
  <c r="AE11" i="11"/>
  <c r="AE10" i="11" s="1"/>
  <c r="AD11" i="11"/>
  <c r="AD10" i="11" s="1"/>
  <c r="AC11" i="11"/>
  <c r="AC10" i="11" s="1"/>
  <c r="X386" i="11"/>
  <c r="X385" i="11"/>
  <c r="X384" i="11"/>
  <c r="AB383" i="11"/>
  <c r="AA383" i="11"/>
  <c r="AA379" i="11" s="1"/>
  <c r="Z383" i="11"/>
  <c r="Y383" i="11"/>
  <c r="X383" i="11"/>
  <c r="AB382" i="11"/>
  <c r="AB380" i="11" s="1"/>
  <c r="AB379" i="11" s="1"/>
  <c r="X382" i="11"/>
  <c r="X381" i="11"/>
  <c r="X380" i="11" s="1"/>
  <c r="X379" i="11" s="1"/>
  <c r="AA380" i="11"/>
  <c r="Z380" i="11"/>
  <c r="Z379" i="11" s="1"/>
  <c r="Y380" i="11"/>
  <c r="Y379" i="11"/>
  <c r="X378" i="11"/>
  <c r="X377" i="11"/>
  <c r="X374" i="11" s="1"/>
  <c r="X376" i="11"/>
  <c r="X375" i="11"/>
  <c r="AB374" i="11"/>
  <c r="AA374" i="11"/>
  <c r="Z374" i="11"/>
  <c r="Y374" i="11"/>
  <c r="X373" i="11"/>
  <c r="AB372" i="11"/>
  <c r="AA372" i="11"/>
  <c r="Z372" i="11"/>
  <c r="Y372" i="11"/>
  <c r="X372" i="11"/>
  <c r="AB371" i="11"/>
  <c r="X371" i="11"/>
  <c r="X370" i="11"/>
  <c r="X369" i="11"/>
  <c r="X368" i="11"/>
  <c r="AB367" i="11"/>
  <c r="X367" i="11" s="1"/>
  <c r="X366" i="11"/>
  <c r="AB365" i="11"/>
  <c r="AA365" i="11"/>
  <c r="AA364" i="11" s="1"/>
  <c r="Z365" i="11"/>
  <c r="Z364" i="11" s="1"/>
  <c r="Z363" i="11" s="1"/>
  <c r="Y365" i="11"/>
  <c r="AB364" i="11"/>
  <c r="AB363" i="11" s="1"/>
  <c r="Y364" i="11"/>
  <c r="Y363" i="11" s="1"/>
  <c r="X362" i="11"/>
  <c r="X361" i="11"/>
  <c r="X360" i="11"/>
  <c r="X359" i="11"/>
  <c r="Z358" i="11"/>
  <c r="X358" i="11"/>
  <c r="X357" i="11"/>
  <c r="X356" i="11"/>
  <c r="X355" i="11"/>
  <c r="X354" i="11"/>
  <c r="X353" i="11"/>
  <c r="X352" i="11"/>
  <c r="X351" i="11"/>
  <c r="X350" i="11"/>
  <c r="X349" i="11"/>
  <c r="X348" i="11"/>
  <c r="X347" i="11"/>
  <c r="X346" i="11"/>
  <c r="X345" i="11"/>
  <c r="X344" i="11"/>
  <c r="X343" i="11"/>
  <c r="X342" i="11"/>
  <c r="X341" i="11"/>
  <c r="X340" i="11"/>
  <c r="X339" i="11" s="1"/>
  <c r="AB339" i="11"/>
  <c r="AA339" i="11"/>
  <c r="Z339" i="11"/>
  <c r="Y339" i="11"/>
  <c r="X338" i="11"/>
  <c r="X337" i="11"/>
  <c r="X336" i="11"/>
  <c r="X335" i="11"/>
  <c r="X334" i="11"/>
  <c r="X333" i="11"/>
  <c r="X332" i="11"/>
  <c r="X331" i="11"/>
  <c r="X330" i="11"/>
  <c r="X329" i="11"/>
  <c r="X328" i="11"/>
  <c r="X327" i="11"/>
  <c r="X326" i="11"/>
  <c r="X325" i="11"/>
  <c r="X324" i="11"/>
  <c r="X323" i="11"/>
  <c r="X322" i="11"/>
  <c r="X321" i="11"/>
  <c r="X320" i="11"/>
  <c r="X319" i="11"/>
  <c r="X318" i="11"/>
  <c r="X317" i="11"/>
  <c r="X316" i="11"/>
  <c r="X315" i="11"/>
  <c r="X314" i="11"/>
  <c r="X313" i="11"/>
  <c r="X312" i="11"/>
  <c r="X311" i="11"/>
  <c r="X310" i="11"/>
  <c r="X309" i="11"/>
  <c r="X308" i="11"/>
  <c r="X307" i="11"/>
  <c r="X306" i="11"/>
  <c r="X305" i="11"/>
  <c r="X304" i="11"/>
  <c r="X303" i="11"/>
  <c r="X302" i="11"/>
  <c r="X301" i="11"/>
  <c r="X300" i="11"/>
  <c r="X299" i="11"/>
  <c r="X298" i="11"/>
  <c r="X297" i="11"/>
  <c r="X296" i="11"/>
  <c r="X295" i="11" s="1"/>
  <c r="X294" i="11" s="1"/>
  <c r="AB295" i="11"/>
  <c r="AA295" i="11"/>
  <c r="Z295" i="11"/>
  <c r="Z294" i="11" s="1"/>
  <c r="Y295" i="11"/>
  <c r="AB294" i="11"/>
  <c r="AA294" i="11"/>
  <c r="Y294" i="11"/>
  <c r="X293" i="11"/>
  <c r="Y292" i="11"/>
  <c r="X292" i="11" s="1"/>
  <c r="X285" i="11" s="1"/>
  <c r="X284" i="11" s="1"/>
  <c r="Y291" i="11"/>
  <c r="X291" i="11"/>
  <c r="Z290" i="11"/>
  <c r="Z285" i="11" s="1"/>
  <c r="Z284" i="11" s="1"/>
  <c r="Y290" i="11"/>
  <c r="Y285" i="11" s="1"/>
  <c r="Y284" i="11" s="1"/>
  <c r="X290" i="11"/>
  <c r="X289" i="11"/>
  <c r="X288" i="11"/>
  <c r="X287" i="11"/>
  <c r="X286" i="11"/>
  <c r="AB285" i="11"/>
  <c r="AA285" i="11"/>
  <c r="AA284" i="11" s="1"/>
  <c r="AB284" i="11"/>
  <c r="Z283" i="11"/>
  <c r="X283" i="11" s="1"/>
  <c r="Z282" i="11"/>
  <c r="X282" i="11"/>
  <c r="Z281" i="11"/>
  <c r="X281" i="11" s="1"/>
  <c r="Z280" i="11"/>
  <c r="X280" i="11" s="1"/>
  <c r="Z279" i="11"/>
  <c r="X279" i="11"/>
  <c r="X278" i="11" s="1"/>
  <c r="X277" i="11" s="1"/>
  <c r="AB278" i="11"/>
  <c r="AA278" i="11"/>
  <c r="Z278" i="11"/>
  <c r="Z277" i="11" s="1"/>
  <c r="Y278" i="11"/>
  <c r="AB277" i="11"/>
  <c r="AA277" i="11"/>
  <c r="Y277" i="11"/>
  <c r="X276" i="11"/>
  <c r="Y275" i="11"/>
  <c r="X275" i="11" s="1"/>
  <c r="Z274" i="11"/>
  <c r="X274" i="11"/>
  <c r="X273" i="11" s="1"/>
  <c r="X272" i="11" s="1"/>
  <c r="AB273" i="11"/>
  <c r="AA273" i="11"/>
  <c r="Z273" i="11"/>
  <c r="Z272" i="11" s="1"/>
  <c r="AB272" i="11"/>
  <c r="AA272" i="11"/>
  <c r="Z271" i="11"/>
  <c r="X271" i="11"/>
  <c r="X270" i="11"/>
  <c r="AB269" i="11"/>
  <c r="AA269" i="11"/>
  <c r="Z269" i="11"/>
  <c r="Y269" i="11"/>
  <c r="X269" i="11"/>
  <c r="Z268" i="11"/>
  <c r="X268" i="11" s="1"/>
  <c r="Z267" i="11"/>
  <c r="X267" i="11" s="1"/>
  <c r="X266" i="11"/>
  <c r="Z265" i="11"/>
  <c r="X265" i="11" s="1"/>
  <c r="X264" i="11"/>
  <c r="Z263" i="11"/>
  <c r="X263" i="11" s="1"/>
  <c r="X262" i="11"/>
  <c r="X261" i="11"/>
  <c r="X260" i="11" s="1"/>
  <c r="AB260" i="11"/>
  <c r="AA260" i="11"/>
  <c r="Y260" i="11"/>
  <c r="Z259" i="11"/>
  <c r="X259" i="11" s="1"/>
  <c r="Z258" i="11"/>
  <c r="X258" i="11" s="1"/>
  <c r="X257" i="11"/>
  <c r="X256" i="11"/>
  <c r="AB255" i="11"/>
  <c r="AB190" i="11" s="1"/>
  <c r="AB188" i="11" s="1"/>
  <c r="AA255" i="11"/>
  <c r="AA190" i="11" s="1"/>
  <c r="AA188" i="11" s="1"/>
  <c r="Y255" i="11"/>
  <c r="Z254" i="11"/>
  <c r="X254" i="11"/>
  <c r="Z253" i="11"/>
  <c r="X253" i="11"/>
  <c r="Z252" i="11"/>
  <c r="Z248" i="11" s="1"/>
  <c r="Z251" i="11"/>
  <c r="X251" i="11"/>
  <c r="X250" i="11"/>
  <c r="X249" i="11"/>
  <c r="AB248" i="11"/>
  <c r="AA248" i="11"/>
  <c r="Y248" i="11"/>
  <c r="Z247" i="11"/>
  <c r="X247" i="11" s="1"/>
  <c r="X246" i="11"/>
  <c r="Z245" i="11"/>
  <c r="X245" i="11"/>
  <c r="Z244" i="11"/>
  <c r="X244" i="11" s="1"/>
  <c r="X243" i="11"/>
  <c r="Z242" i="11"/>
  <c r="X242" i="11" s="1"/>
  <c r="Z241" i="11"/>
  <c r="X241" i="11" s="1"/>
  <c r="Z240" i="11"/>
  <c r="X240" i="11" s="1"/>
  <c r="X239" i="11"/>
  <c r="X238" i="11"/>
  <c r="Z237" i="11"/>
  <c r="X237" i="11" s="1"/>
  <c r="X236" i="11"/>
  <c r="Z235" i="11"/>
  <c r="X235" i="11" s="1"/>
  <c r="Z234" i="11"/>
  <c r="X234" i="11"/>
  <c r="Z233" i="11"/>
  <c r="X233" i="11"/>
  <c r="Z232" i="11"/>
  <c r="X232" i="11" s="1"/>
  <c r="Z231" i="11"/>
  <c r="X231" i="11"/>
  <c r="Z230" i="11"/>
  <c r="X230" i="11"/>
  <c r="Z229" i="11"/>
  <c r="X229" i="11" s="1"/>
  <c r="X228" i="11"/>
  <c r="Z227" i="11"/>
  <c r="X227" i="11" s="1"/>
  <c r="Z226" i="11"/>
  <c r="X226" i="11" s="1"/>
  <c r="Z225" i="11"/>
  <c r="X225" i="11"/>
  <c r="Z224" i="11"/>
  <c r="X224" i="11" s="1"/>
  <c r="Z223" i="11"/>
  <c r="X223" i="11" s="1"/>
  <c r="Z222" i="11"/>
  <c r="X222" i="11"/>
  <c r="Z221" i="11"/>
  <c r="X221" i="11" s="1"/>
  <c r="Z220" i="11"/>
  <c r="X220" i="11" s="1"/>
  <c r="Z219" i="11"/>
  <c r="X219" i="11"/>
  <c r="Z218" i="11"/>
  <c r="X218" i="11" s="1"/>
  <c r="Z217" i="11"/>
  <c r="X217" i="11" s="1"/>
  <c r="Z216" i="11"/>
  <c r="X216" i="11"/>
  <c r="X215" i="11"/>
  <c r="Z214" i="11"/>
  <c r="X214" i="11"/>
  <c r="Z213" i="11"/>
  <c r="X213" i="11" s="1"/>
  <c r="X212" i="11"/>
  <c r="Z211" i="11"/>
  <c r="X211" i="11" s="1"/>
  <c r="Z210" i="11"/>
  <c r="X210" i="11" s="1"/>
  <c r="Z209" i="11"/>
  <c r="X209" i="11"/>
  <c r="Z208" i="11"/>
  <c r="X208" i="11" s="1"/>
  <c r="Z207" i="11"/>
  <c r="X207" i="11" s="1"/>
  <c r="Z206" i="11"/>
  <c r="X206" i="11"/>
  <c r="Z205" i="11"/>
  <c r="X205" i="11" s="1"/>
  <c r="X204" i="11"/>
  <c r="X203" i="11"/>
  <c r="X202" i="11"/>
  <c r="X201" i="11"/>
  <c r="Y200" i="11"/>
  <c r="X200" i="11" s="1"/>
  <c r="X199" i="11"/>
  <c r="X198" i="11"/>
  <c r="X197" i="11"/>
  <c r="X196" i="11"/>
  <c r="X195" i="11"/>
  <c r="X194" i="11"/>
  <c r="X193" i="11"/>
  <c r="X192" i="11"/>
  <c r="AB191" i="11"/>
  <c r="AA191" i="11"/>
  <c r="Z191" i="11"/>
  <c r="X189" i="11"/>
  <c r="X187" i="11"/>
  <c r="X186" i="11"/>
  <c r="X185" i="11"/>
  <c r="X184" i="11"/>
  <c r="X183" i="11"/>
  <c r="X179" i="11" s="1"/>
  <c r="X177" i="11" s="1"/>
  <c r="X182" i="11"/>
  <c r="X181" i="11"/>
  <c r="X180" i="11"/>
  <c r="AB179" i="11"/>
  <c r="AA179" i="11"/>
  <c r="Z179" i="11"/>
  <c r="Z177" i="11" s="1"/>
  <c r="Y179" i="11"/>
  <c r="Y177" i="11" s="1"/>
  <c r="AB178" i="11"/>
  <c r="AA178" i="11"/>
  <c r="Y178" i="11"/>
  <c r="AB177" i="11"/>
  <c r="AA177" i="11"/>
  <c r="X116" i="11"/>
  <c r="X115" i="11"/>
  <c r="X114" i="11"/>
  <c r="X113" i="11"/>
  <c r="X110" i="11" s="1"/>
  <c r="X112" i="11"/>
  <c r="X111" i="11"/>
  <c r="AB110" i="11"/>
  <c r="AA110" i="11"/>
  <c r="AA103" i="11" s="1"/>
  <c r="Z110" i="11"/>
  <c r="Z103" i="11" s="1"/>
  <c r="Y110" i="11"/>
  <c r="X109" i="11"/>
  <c r="X108" i="11"/>
  <c r="X107" i="11"/>
  <c r="X104" i="11" s="1"/>
  <c r="X103" i="11" s="1"/>
  <c r="X106" i="11"/>
  <c r="X105" i="11"/>
  <c r="AB104" i="11"/>
  <c r="AA104" i="11"/>
  <c r="Z104" i="11"/>
  <c r="Y104" i="11"/>
  <c r="Y103" i="11" s="1"/>
  <c r="AB103" i="11"/>
  <c r="AA102" i="11"/>
  <c r="AA101" i="11" s="1"/>
  <c r="AA97" i="11" s="1"/>
  <c r="X102" i="11"/>
  <c r="X101" i="11" s="1"/>
  <c r="AB101" i="11"/>
  <c r="Z101" i="11"/>
  <c r="Y101" i="11"/>
  <c r="X100" i="11"/>
  <c r="X99" i="11"/>
  <c r="AB98" i="11"/>
  <c r="AA98" i="11"/>
  <c r="Z98" i="11"/>
  <c r="Z97" i="11" s="1"/>
  <c r="Y98" i="11"/>
  <c r="X98" i="11"/>
  <c r="X97" i="11" s="1"/>
  <c r="AB97" i="11"/>
  <c r="Y97" i="11"/>
  <c r="X96" i="11"/>
  <c r="AA95" i="11"/>
  <c r="X95" i="11" s="1"/>
  <c r="AA94" i="11"/>
  <c r="X94" i="11"/>
  <c r="X93" i="11"/>
  <c r="AA92" i="11"/>
  <c r="X92" i="11" s="1"/>
  <c r="X91" i="11"/>
  <c r="AB90" i="11"/>
  <c r="AA90" i="11"/>
  <c r="Z90" i="11"/>
  <c r="Y90" i="11"/>
  <c r="X89" i="11"/>
  <c r="AB88" i="11"/>
  <c r="AA88" i="11"/>
  <c r="AA87" i="11" s="1"/>
  <c r="Z88" i="11"/>
  <c r="Y88" i="11"/>
  <c r="Y87" i="11" s="1"/>
  <c r="X88" i="11"/>
  <c r="AB87" i="11"/>
  <c r="Z87" i="11"/>
  <c r="X86" i="11"/>
  <c r="AB85" i="11"/>
  <c r="AA85" i="11"/>
  <c r="Z85" i="11"/>
  <c r="Y85" i="11"/>
  <c r="X85" i="11"/>
  <c r="AA84" i="11"/>
  <c r="X84" i="11" s="1"/>
  <c r="X83" i="11"/>
  <c r="AA82" i="11"/>
  <c r="X82" i="11" s="1"/>
  <c r="X81" i="11"/>
  <c r="X80" i="11"/>
  <c r="X79" i="11"/>
  <c r="X78" i="11"/>
  <c r="X77" i="11"/>
  <c r="X76" i="11"/>
  <c r="X75" i="11"/>
  <c r="X74" i="11" s="1"/>
  <c r="X73" i="11" s="1"/>
  <c r="AB74" i="11"/>
  <c r="Z74" i="11"/>
  <c r="Y74" i="11"/>
  <c r="Y73" i="11" s="1"/>
  <c r="AB73" i="11"/>
  <c r="Z73" i="11"/>
  <c r="X72" i="11"/>
  <c r="AB71" i="11"/>
  <c r="AA71" i="11"/>
  <c r="Z71" i="11"/>
  <c r="Y71" i="11"/>
  <c r="X71" i="11"/>
  <c r="X70" i="11"/>
  <c r="AB69" i="11"/>
  <c r="AA69" i="11"/>
  <c r="Z69" i="11"/>
  <c r="Y69" i="11"/>
  <c r="X69" i="11"/>
  <c r="X68" i="11"/>
  <c r="X67" i="11"/>
  <c r="X66" i="11"/>
  <c r="AB65" i="11"/>
  <c r="AA65" i="11"/>
  <c r="Z65" i="11"/>
  <c r="Y65" i="11"/>
  <c r="X65" i="11"/>
  <c r="AA64" i="11"/>
  <c r="X64" i="11" s="1"/>
  <c r="X63" i="11"/>
  <c r="AA62" i="11"/>
  <c r="X62" i="11" s="1"/>
  <c r="X61" i="11" s="1"/>
  <c r="AB61" i="11"/>
  <c r="Z61" i="11"/>
  <c r="Y61" i="11"/>
  <c r="X60" i="11"/>
  <c r="AA59" i="11"/>
  <c r="X59" i="11" s="1"/>
  <c r="X58" i="11"/>
  <c r="X57" i="11"/>
  <c r="X56" i="11"/>
  <c r="X55" i="11"/>
  <c r="X54" i="11"/>
  <c r="X53" i="11"/>
  <c r="X52" i="11"/>
  <c r="X51" i="11"/>
  <c r="X50" i="11"/>
  <c r="X49" i="11"/>
  <c r="X48" i="11"/>
  <c r="X47" i="11"/>
  <c r="AA46" i="11"/>
  <c r="X46" i="11"/>
  <c r="AA45" i="11"/>
  <c r="X45" i="11" s="1"/>
  <c r="X44" i="11"/>
  <c r="AB43" i="11"/>
  <c r="Z43" i="11"/>
  <c r="Z42" i="11" s="1"/>
  <c r="Y43" i="11"/>
  <c r="Y42" i="11" s="1"/>
  <c r="AB42" i="11"/>
  <c r="X41" i="11"/>
  <c r="AB40" i="11"/>
  <c r="AB24" i="11" s="1"/>
  <c r="AB23" i="11" s="1"/>
  <c r="AB21" i="11" s="1"/>
  <c r="AB20" i="11" s="1"/>
  <c r="AA40" i="11"/>
  <c r="Z40" i="11"/>
  <c r="Y40" i="11"/>
  <c r="X40" i="11"/>
  <c r="AA39" i="11"/>
  <c r="X39" i="11"/>
  <c r="X36" i="11" s="1"/>
  <c r="X38" i="11"/>
  <c r="X37" i="11"/>
  <c r="AB36" i="11"/>
  <c r="AA36" i="11"/>
  <c r="Z36" i="11"/>
  <c r="Y36" i="11"/>
  <c r="X35" i="11"/>
  <c r="X34" i="11"/>
  <c r="X33" i="11"/>
  <c r="X32" i="11"/>
  <c r="X31" i="11"/>
  <c r="AA30" i="11"/>
  <c r="X30" i="11" s="1"/>
  <c r="X29" i="11"/>
  <c r="AA28" i="11"/>
  <c r="AA25" i="11" s="1"/>
  <c r="AA24" i="11" s="1"/>
  <c r="X27" i="11"/>
  <c r="X26" i="11"/>
  <c r="AB25" i="11"/>
  <c r="Z25" i="11"/>
  <c r="Z24" i="11" s="1"/>
  <c r="Y25" i="11"/>
  <c r="Y24" i="11"/>
  <c r="X18" i="11"/>
  <c r="AB16" i="11"/>
  <c r="AA16" i="11"/>
  <c r="Z16" i="11"/>
  <c r="Y16" i="11"/>
  <c r="X16" i="11"/>
  <c r="X15" i="11"/>
  <c r="AB14" i="11"/>
  <c r="AA14" i="11"/>
  <c r="AA13" i="11" s="1"/>
  <c r="AA10" i="11" s="1"/>
  <c r="Z14" i="11"/>
  <c r="Y14" i="11"/>
  <c r="Y13" i="11" s="1"/>
  <c r="Y10" i="11" s="1"/>
  <c r="X14" i="11"/>
  <c r="AB13" i="11"/>
  <c r="Z13" i="11"/>
  <c r="X13" i="11"/>
  <c r="X12" i="11"/>
  <c r="AB11" i="11"/>
  <c r="AA11" i="11"/>
  <c r="Z11" i="11"/>
  <c r="Z10" i="11" s="1"/>
  <c r="Y11" i="11"/>
  <c r="X11" i="11"/>
  <c r="X10" i="11" s="1"/>
  <c r="AB10" i="11"/>
  <c r="U355" i="11"/>
  <c r="S355" i="11" s="1"/>
  <c r="U312" i="11"/>
  <c r="U311" i="11"/>
  <c r="U310" i="11"/>
  <c r="U309" i="11"/>
  <c r="U308" i="11"/>
  <c r="U306" i="11"/>
  <c r="U305" i="11"/>
  <c r="U303" i="11"/>
  <c r="S386" i="11"/>
  <c r="S385" i="11"/>
  <c r="S384" i="11"/>
  <c r="W383" i="11"/>
  <c r="V383" i="11"/>
  <c r="U383" i="11"/>
  <c r="T383" i="11"/>
  <c r="S383" i="11"/>
  <c r="W382" i="11"/>
  <c r="S382" i="11"/>
  <c r="S381" i="11"/>
  <c r="W380" i="11"/>
  <c r="W379" i="11" s="1"/>
  <c r="V380" i="11"/>
  <c r="V379" i="11" s="1"/>
  <c r="U380" i="11"/>
  <c r="U379" i="11" s="1"/>
  <c r="T380" i="11"/>
  <c r="S380" i="11"/>
  <c r="S379" i="11" s="1"/>
  <c r="T379" i="11"/>
  <c r="S378" i="11"/>
  <c r="S377" i="11"/>
  <c r="S376" i="11"/>
  <c r="S375" i="11"/>
  <c r="S374" i="11" s="1"/>
  <c r="W374" i="11"/>
  <c r="V374" i="11"/>
  <c r="U374" i="11"/>
  <c r="T374" i="11"/>
  <c r="S373" i="11"/>
  <c r="S372" i="11" s="1"/>
  <c r="W372" i="11"/>
  <c r="V372" i="11"/>
  <c r="U372" i="11"/>
  <c r="T372" i="11"/>
  <c r="W371" i="11"/>
  <c r="S371" i="11"/>
  <c r="S370" i="11"/>
  <c r="S369" i="11"/>
  <c r="S368" i="11"/>
  <c r="W367" i="11"/>
  <c r="W365" i="11" s="1"/>
  <c r="W364" i="11" s="1"/>
  <c r="W363" i="11" s="1"/>
  <c r="S367" i="11"/>
  <c r="S366" i="11"/>
  <c r="S365" i="11" s="1"/>
  <c r="V365" i="11"/>
  <c r="V364" i="11" s="1"/>
  <c r="V363" i="11" s="1"/>
  <c r="U365" i="11"/>
  <c r="T365" i="11"/>
  <c r="T364" i="11" s="1"/>
  <c r="T363" i="11" s="1"/>
  <c r="U364" i="11"/>
  <c r="U360" i="11"/>
  <c r="U359" i="11"/>
  <c r="U358" i="11"/>
  <c r="U357" i="11"/>
  <c r="U356" i="11"/>
  <c r="U352" i="11"/>
  <c r="U350" i="11"/>
  <c r="U349" i="11"/>
  <c r="U348" i="11"/>
  <c r="U345" i="11"/>
  <c r="U343" i="11"/>
  <c r="U342" i="11"/>
  <c r="U293" i="11"/>
  <c r="U290" i="11"/>
  <c r="U288" i="11"/>
  <c r="U287" i="11"/>
  <c r="U286" i="11"/>
  <c r="V187" i="11"/>
  <c r="S187" i="11" s="1"/>
  <c r="N187" i="11"/>
  <c r="V186" i="11"/>
  <c r="S186" i="11"/>
  <c r="N186" i="11"/>
  <c r="S185" i="11"/>
  <c r="N185" i="11"/>
  <c r="S184" i="11"/>
  <c r="N184" i="11"/>
  <c r="V183" i="11"/>
  <c r="S183" i="11" s="1"/>
  <c r="N183" i="11"/>
  <c r="V182" i="11"/>
  <c r="S182" i="11"/>
  <c r="N182" i="11"/>
  <c r="S181" i="11"/>
  <c r="N181" i="11"/>
  <c r="V180" i="11"/>
  <c r="S180" i="11" s="1"/>
  <c r="N180" i="11"/>
  <c r="W179" i="11"/>
  <c r="U179" i="11"/>
  <c r="T179" i="11"/>
  <c r="R179" i="11"/>
  <c r="Q179" i="11"/>
  <c r="P179" i="11"/>
  <c r="P177" i="11" s="1"/>
  <c r="O179" i="11"/>
  <c r="W178" i="11"/>
  <c r="V178" i="11"/>
  <c r="T178" i="11"/>
  <c r="R178" i="11"/>
  <c r="Q178" i="11"/>
  <c r="Q177" i="11" s="1"/>
  <c r="O178" i="11"/>
  <c r="U177" i="11"/>
  <c r="T177" i="11"/>
  <c r="O177" i="11"/>
  <c r="V116" i="11"/>
  <c r="S116" i="11" s="1"/>
  <c r="N116" i="11"/>
  <c r="S115" i="11"/>
  <c r="N115" i="11"/>
  <c r="V114" i="11"/>
  <c r="S114" i="11" s="1"/>
  <c r="N114" i="11"/>
  <c r="V113" i="11"/>
  <c r="S113" i="11"/>
  <c r="N113" i="11"/>
  <c r="S112" i="11"/>
  <c r="N112" i="11"/>
  <c r="N110" i="11" s="1"/>
  <c r="S111" i="11"/>
  <c r="N111" i="11"/>
  <c r="U110" i="11"/>
  <c r="T110" i="11"/>
  <c r="R110" i="11"/>
  <c r="Q110" i="11"/>
  <c r="P110" i="11"/>
  <c r="O110" i="11"/>
  <c r="S109" i="11"/>
  <c r="N109" i="11"/>
  <c r="S108" i="11"/>
  <c r="N108" i="11"/>
  <c r="S107" i="11"/>
  <c r="N107" i="11"/>
  <c r="S106" i="11"/>
  <c r="N106" i="11"/>
  <c r="S105" i="11"/>
  <c r="S104" i="11" s="1"/>
  <c r="N105" i="11"/>
  <c r="V104" i="11"/>
  <c r="U104" i="11"/>
  <c r="U103" i="11" s="1"/>
  <c r="T104" i="11"/>
  <c r="R104" i="11"/>
  <c r="R103" i="11" s="1"/>
  <c r="Q104" i="11"/>
  <c r="Q103" i="11" s="1"/>
  <c r="P104" i="11"/>
  <c r="P103" i="11" s="1"/>
  <c r="O104" i="11"/>
  <c r="O103" i="11" s="1"/>
  <c r="V102" i="11"/>
  <c r="S102" i="11" s="1"/>
  <c r="S101" i="11" s="1"/>
  <c r="Q102" i="11"/>
  <c r="N102" i="11"/>
  <c r="N101" i="11" s="1"/>
  <c r="U101" i="11"/>
  <c r="T101" i="11"/>
  <c r="R101" i="11"/>
  <c r="Q101" i="11"/>
  <c r="P101" i="11"/>
  <c r="O101" i="11"/>
  <c r="V100" i="11"/>
  <c r="S100" i="11"/>
  <c r="N100" i="11"/>
  <c r="N98" i="11" s="1"/>
  <c r="N97" i="11" s="1"/>
  <c r="V99" i="11"/>
  <c r="N99" i="11"/>
  <c r="U98" i="11"/>
  <c r="T98" i="11"/>
  <c r="R98" i="11"/>
  <c r="R97" i="11" s="1"/>
  <c r="Q98" i="11"/>
  <c r="P98" i="11"/>
  <c r="O98" i="11"/>
  <c r="Q97" i="11"/>
  <c r="P97" i="11"/>
  <c r="S96" i="11"/>
  <c r="N96" i="11"/>
  <c r="V95" i="11"/>
  <c r="S95" i="11" s="1"/>
  <c r="Q95" i="11"/>
  <c r="N95" i="11" s="1"/>
  <c r="V94" i="11"/>
  <c r="S94" i="11"/>
  <c r="Q94" i="11"/>
  <c r="N94" i="11"/>
  <c r="V93" i="11"/>
  <c r="S93" i="11" s="1"/>
  <c r="N93" i="11"/>
  <c r="S92" i="11"/>
  <c r="Q92" i="11"/>
  <c r="Q90" i="11" s="1"/>
  <c r="N92" i="11"/>
  <c r="V91" i="11"/>
  <c r="S91" i="11" s="1"/>
  <c r="N91" i="11"/>
  <c r="U90" i="11"/>
  <c r="T90" i="11"/>
  <c r="R90" i="11"/>
  <c r="P90" i="11"/>
  <c r="O90" i="11"/>
  <c r="O87" i="11" s="1"/>
  <c r="S89" i="11"/>
  <c r="S88" i="11" s="1"/>
  <c r="N89" i="11"/>
  <c r="V88" i="11"/>
  <c r="U88" i="11"/>
  <c r="T88" i="11"/>
  <c r="T87" i="11" s="1"/>
  <c r="R88" i="11"/>
  <c r="R87" i="11" s="1"/>
  <c r="Q88" i="11"/>
  <c r="P88" i="11"/>
  <c r="O88" i="11"/>
  <c r="N88" i="11"/>
  <c r="U87" i="11"/>
  <c r="P87" i="11"/>
  <c r="W88" i="11"/>
  <c r="W90" i="11"/>
  <c r="S72" i="11"/>
  <c r="S71" i="11" s="1"/>
  <c r="N72" i="11"/>
  <c r="N71" i="11" s="1"/>
  <c r="V71" i="11"/>
  <c r="U71" i="11"/>
  <c r="T71" i="11"/>
  <c r="R71" i="11"/>
  <c r="Q71" i="11"/>
  <c r="P71" i="11"/>
  <c r="O71" i="11"/>
  <c r="V70" i="11"/>
  <c r="S70" i="11" s="1"/>
  <c r="S69" i="11" s="1"/>
  <c r="N70" i="11"/>
  <c r="U69" i="11"/>
  <c r="T69" i="11"/>
  <c r="R69" i="11"/>
  <c r="Q69" i="11"/>
  <c r="P69" i="11"/>
  <c r="O69" i="11"/>
  <c r="N69" i="11"/>
  <c r="V68" i="11"/>
  <c r="S68" i="11" s="1"/>
  <c r="N68" i="11"/>
  <c r="S67" i="11"/>
  <c r="N67" i="11"/>
  <c r="V66" i="11"/>
  <c r="N66" i="11"/>
  <c r="U65" i="11"/>
  <c r="T65" i="11"/>
  <c r="R65" i="11"/>
  <c r="Q65" i="11"/>
  <c r="P65" i="11"/>
  <c r="O65" i="11"/>
  <c r="N65" i="11"/>
  <c r="V64" i="11"/>
  <c r="Q64" i="11"/>
  <c r="N64" i="11"/>
  <c r="V63" i="11"/>
  <c r="S63" i="11"/>
  <c r="N63" i="11"/>
  <c r="V62" i="11"/>
  <c r="S62" i="11" s="1"/>
  <c r="Q62" i="11"/>
  <c r="N62" i="11" s="1"/>
  <c r="U61" i="11"/>
  <c r="T61" i="11"/>
  <c r="R61" i="11"/>
  <c r="P61" i="11"/>
  <c r="O61" i="11"/>
  <c r="V60" i="11"/>
  <c r="S60" i="11"/>
  <c r="N60" i="11"/>
  <c r="V59" i="11"/>
  <c r="S59" i="11"/>
  <c r="Q59" i="11"/>
  <c r="N59" i="11" s="1"/>
  <c r="V58" i="11"/>
  <c r="S58" i="11" s="1"/>
  <c r="N58" i="11"/>
  <c r="S57" i="11"/>
  <c r="N57" i="11"/>
  <c r="S56" i="11"/>
  <c r="N56" i="11"/>
  <c r="S55" i="11"/>
  <c r="N55" i="11"/>
  <c r="V54" i="11"/>
  <c r="S54" i="11" s="1"/>
  <c r="N54" i="11"/>
  <c r="S53" i="11"/>
  <c r="N53" i="11"/>
  <c r="S52" i="11"/>
  <c r="N52" i="11"/>
  <c r="V51" i="11"/>
  <c r="S51" i="11" s="1"/>
  <c r="N51" i="11"/>
  <c r="V50" i="11"/>
  <c r="S50" i="11" s="1"/>
  <c r="N50" i="11"/>
  <c r="V49" i="11"/>
  <c r="S49" i="11" s="1"/>
  <c r="N49" i="11"/>
  <c r="V48" i="11"/>
  <c r="S48" i="11"/>
  <c r="N48" i="11"/>
  <c r="V47" i="11"/>
  <c r="S47" i="11" s="1"/>
  <c r="N47" i="11"/>
  <c r="V46" i="11"/>
  <c r="S46" i="11"/>
  <c r="Q46" i="11"/>
  <c r="Q43" i="11" s="1"/>
  <c r="V45" i="11"/>
  <c r="S45" i="11" s="1"/>
  <c r="Q45" i="11"/>
  <c r="N45" i="11"/>
  <c r="V44" i="11"/>
  <c r="N44" i="11"/>
  <c r="O43" i="11"/>
  <c r="O42" i="11" s="1"/>
  <c r="P43" i="11"/>
  <c r="R43" i="11"/>
  <c r="T43" i="11"/>
  <c r="U43" i="11"/>
  <c r="N41" i="11"/>
  <c r="N40" i="11" s="1"/>
  <c r="L25" i="11"/>
  <c r="L24" i="11" s="1"/>
  <c r="M25" i="11"/>
  <c r="O25" i="11"/>
  <c r="P25" i="11"/>
  <c r="R25" i="11"/>
  <c r="T25" i="11"/>
  <c r="U25" i="11"/>
  <c r="W25" i="11"/>
  <c r="K25" i="11"/>
  <c r="S35" i="11"/>
  <c r="N35" i="11"/>
  <c r="S34" i="11"/>
  <c r="N34" i="11"/>
  <c r="S33" i="11"/>
  <c r="N33" i="11"/>
  <c r="V32" i="11"/>
  <c r="S32" i="11" s="1"/>
  <c r="N32" i="11"/>
  <c r="S31" i="11"/>
  <c r="N31" i="11"/>
  <c r="V30" i="11"/>
  <c r="S30" i="11" s="1"/>
  <c r="Q30" i="11"/>
  <c r="N30" i="11" s="1"/>
  <c r="S29" i="11"/>
  <c r="N29" i="11"/>
  <c r="V28" i="11"/>
  <c r="S28" i="11" s="1"/>
  <c r="Q28" i="11"/>
  <c r="N28" i="11" s="1"/>
  <c r="S27" i="11"/>
  <c r="N27" i="11"/>
  <c r="V26" i="11"/>
  <c r="S26" i="11"/>
  <c r="N26" i="11"/>
  <c r="K36" i="11"/>
  <c r="L36" i="11"/>
  <c r="M36" i="11"/>
  <c r="O36" i="11"/>
  <c r="P36" i="11"/>
  <c r="R36" i="11"/>
  <c r="T36" i="11"/>
  <c r="U36" i="11"/>
  <c r="W36" i="11"/>
  <c r="N37" i="11"/>
  <c r="S37" i="11"/>
  <c r="N38" i="11"/>
  <c r="S38" i="11"/>
  <c r="Q39" i="11"/>
  <c r="Q36" i="11" s="1"/>
  <c r="V39" i="11"/>
  <c r="S39" i="11" s="1"/>
  <c r="K40" i="11"/>
  <c r="L40" i="11"/>
  <c r="M40" i="11"/>
  <c r="O40" i="11"/>
  <c r="P40" i="11"/>
  <c r="Q40" i="11"/>
  <c r="R40" i="11"/>
  <c r="T40" i="11"/>
  <c r="U40" i="11"/>
  <c r="V40" i="11"/>
  <c r="W40" i="11"/>
  <c r="S41" i="11"/>
  <c r="S40" i="11" s="1"/>
  <c r="K43" i="11"/>
  <c r="L43" i="11"/>
  <c r="M43" i="11"/>
  <c r="W43" i="11"/>
  <c r="K61" i="11"/>
  <c r="L61" i="11"/>
  <c r="M61" i="11"/>
  <c r="W61" i="11"/>
  <c r="K65" i="11"/>
  <c r="L65" i="11"/>
  <c r="M65" i="11"/>
  <c r="W65" i="11"/>
  <c r="K69" i="11"/>
  <c r="L69" i="11"/>
  <c r="M69" i="11"/>
  <c r="W69" i="11"/>
  <c r="K71" i="11"/>
  <c r="L71" i="11"/>
  <c r="M71" i="11"/>
  <c r="W71" i="11"/>
  <c r="K74" i="11"/>
  <c r="K73" i="11" s="1"/>
  <c r="L74" i="11"/>
  <c r="L73" i="11" s="1"/>
  <c r="M74" i="11"/>
  <c r="M73" i="11" s="1"/>
  <c r="O74" i="11"/>
  <c r="O73" i="11" s="1"/>
  <c r="P74" i="11"/>
  <c r="P73" i="11" s="1"/>
  <c r="R74" i="11"/>
  <c r="R73" i="11" s="1"/>
  <c r="T74" i="11"/>
  <c r="T73" i="11" s="1"/>
  <c r="U74" i="11"/>
  <c r="U73" i="11" s="1"/>
  <c r="V74" i="11"/>
  <c r="V73" i="11" s="1"/>
  <c r="N75" i="11"/>
  <c r="S75" i="11"/>
  <c r="N76" i="11"/>
  <c r="S76" i="11"/>
  <c r="N77" i="11"/>
  <c r="S77" i="11"/>
  <c r="N78" i="11"/>
  <c r="S78" i="11"/>
  <c r="N79" i="11"/>
  <c r="S79" i="11"/>
  <c r="N80" i="11"/>
  <c r="S80" i="11"/>
  <c r="N81" i="11"/>
  <c r="S81" i="11"/>
  <c r="Q82" i="11"/>
  <c r="N82" i="11" s="1"/>
  <c r="S82" i="11"/>
  <c r="N83" i="11"/>
  <c r="S83" i="11"/>
  <c r="Q84" i="11"/>
  <c r="N84" i="11" s="1"/>
  <c r="S84" i="11"/>
  <c r="K85" i="11"/>
  <c r="L85" i="11"/>
  <c r="M85" i="11"/>
  <c r="O85" i="11"/>
  <c r="P85" i="11"/>
  <c r="Q85" i="11"/>
  <c r="R85" i="11"/>
  <c r="T85" i="11"/>
  <c r="U85" i="11"/>
  <c r="V85" i="11"/>
  <c r="W85" i="11"/>
  <c r="W74" i="11" s="1"/>
  <c r="N86" i="11"/>
  <c r="N85" i="11" s="1"/>
  <c r="S86" i="11"/>
  <c r="S85" i="11" s="1"/>
  <c r="K88" i="11"/>
  <c r="L88" i="11"/>
  <c r="L87" i="11" s="1"/>
  <c r="M88" i="11"/>
  <c r="K90" i="11"/>
  <c r="L90" i="11"/>
  <c r="M90" i="11"/>
  <c r="K98" i="11"/>
  <c r="L98" i="11"/>
  <c r="M98" i="11"/>
  <c r="M97" i="11" s="1"/>
  <c r="W98" i="11"/>
  <c r="W97" i="11" s="1"/>
  <c r="K101" i="11"/>
  <c r="L101" i="11"/>
  <c r="M101" i="11"/>
  <c r="W101" i="11"/>
  <c r="K104" i="11"/>
  <c r="L104" i="11"/>
  <c r="M104" i="11"/>
  <c r="W104" i="11"/>
  <c r="K110" i="11"/>
  <c r="L110" i="11"/>
  <c r="M110" i="11"/>
  <c r="W110" i="11"/>
  <c r="K179" i="11"/>
  <c r="K177" i="11" s="1"/>
  <c r="L179" i="11"/>
  <c r="L177" i="11" s="1"/>
  <c r="M179" i="11"/>
  <c r="M177" i="11" s="1"/>
  <c r="N189" i="11"/>
  <c r="S189" i="11"/>
  <c r="AE23" i="11" l="1"/>
  <c r="AE21" i="11" s="1"/>
  <c r="AE20" i="11" s="1"/>
  <c r="AC74" i="11"/>
  <c r="AC73" i="11" s="1"/>
  <c r="AC379" i="11"/>
  <c r="AC363" i="11" s="1"/>
  <c r="AC24" i="11"/>
  <c r="AF97" i="11"/>
  <c r="AE190" i="11"/>
  <c r="AC255" i="11"/>
  <c r="AC285" i="11"/>
  <c r="AC284" i="11" s="1"/>
  <c r="AF363" i="11"/>
  <c r="AF87" i="11"/>
  <c r="AF20" i="11" s="1"/>
  <c r="AF19" i="11" s="1"/>
  <c r="AF9" i="11" s="1"/>
  <c r="AE294" i="11"/>
  <c r="AG363" i="11"/>
  <c r="AG19" i="11" s="1"/>
  <c r="AG9" i="11" s="1"/>
  <c r="AC103" i="11"/>
  <c r="AC260" i="11"/>
  <c r="AC43" i="11"/>
  <c r="AC42" i="11" s="1"/>
  <c r="AC252" i="11"/>
  <c r="AC248" i="11" s="1"/>
  <c r="AD273" i="11"/>
  <c r="AD272" i="11" s="1"/>
  <c r="AD188" i="11" s="1"/>
  <c r="AD19" i="11" s="1"/>
  <c r="AD9" i="11" s="1"/>
  <c r="AC92" i="11"/>
  <c r="AC90" i="11" s="1"/>
  <c r="AC87" i="11" s="1"/>
  <c r="AC207" i="11"/>
  <c r="AC191" i="11" s="1"/>
  <c r="AC279" i="11"/>
  <c r="AC278" i="11" s="1"/>
  <c r="AC277" i="11" s="1"/>
  <c r="AC290" i="11"/>
  <c r="X191" i="11"/>
  <c r="X190" i="11" s="1"/>
  <c r="X188" i="11" s="1"/>
  <c r="AA363" i="11"/>
  <c r="Z23" i="11"/>
  <c r="Z21" i="11" s="1"/>
  <c r="Z20" i="11" s="1"/>
  <c r="AB19" i="11"/>
  <c r="AB9" i="11" s="1"/>
  <c r="X43" i="11"/>
  <c r="X42" i="11" s="1"/>
  <c r="X90" i="11"/>
  <c r="X87" i="11" s="1"/>
  <c r="X365" i="11"/>
  <c r="X364" i="11" s="1"/>
  <c r="X363" i="11" s="1"/>
  <c r="X248" i="11"/>
  <c r="X255" i="11"/>
  <c r="Y23" i="11"/>
  <c r="Y21" i="11" s="1"/>
  <c r="Y20" i="11" s="1"/>
  <c r="AA43" i="11"/>
  <c r="AA42" i="11" s="1"/>
  <c r="AA23" i="11" s="1"/>
  <c r="AA21" i="11" s="1"/>
  <c r="AA20" i="11" s="1"/>
  <c r="AA19" i="11" s="1"/>
  <c r="AA9" i="11" s="1"/>
  <c r="AA74" i="11"/>
  <c r="AA73" i="11" s="1"/>
  <c r="X252" i="11"/>
  <c r="Y273" i="11"/>
  <c r="Y272" i="11" s="1"/>
  <c r="AA61" i="11"/>
  <c r="Z260" i="11"/>
  <c r="Z255" i="11"/>
  <c r="Z190" i="11" s="1"/>
  <c r="Z188" i="11" s="1"/>
  <c r="X28" i="11"/>
  <c r="X25" i="11" s="1"/>
  <c r="X24" i="11" s="1"/>
  <c r="Y191" i="11"/>
  <c r="Y190" i="11" s="1"/>
  <c r="S364" i="11"/>
  <c r="S363" i="11" s="1"/>
  <c r="U363" i="11"/>
  <c r="W103" i="11"/>
  <c r="R24" i="11"/>
  <c r="W87" i="11"/>
  <c r="V98" i="11"/>
  <c r="N104" i="11"/>
  <c r="N103" i="11" s="1"/>
  <c r="R177" i="11"/>
  <c r="N179" i="11"/>
  <c r="N177" i="11" s="1"/>
  <c r="N25" i="11"/>
  <c r="S25" i="11"/>
  <c r="W24" i="11"/>
  <c r="T24" i="11"/>
  <c r="T97" i="11"/>
  <c r="T103" i="11"/>
  <c r="M24" i="11"/>
  <c r="M23" i="11" s="1"/>
  <c r="M21" i="11" s="1"/>
  <c r="M20" i="11" s="1"/>
  <c r="Q87" i="11"/>
  <c r="U97" i="11"/>
  <c r="V101" i="11"/>
  <c r="V179" i="11"/>
  <c r="V177" i="11" s="1"/>
  <c r="P24" i="11"/>
  <c r="O97" i="11"/>
  <c r="W177" i="11"/>
  <c r="S179" i="11"/>
  <c r="S177" i="11" s="1"/>
  <c r="S110" i="11"/>
  <c r="S103" i="11" s="1"/>
  <c r="V110" i="11"/>
  <c r="V103" i="11" s="1"/>
  <c r="S99" i="11"/>
  <c r="S98" i="11" s="1"/>
  <c r="S97" i="11" s="1"/>
  <c r="S90" i="11"/>
  <c r="S87" i="11" s="1"/>
  <c r="N90" i="11"/>
  <c r="N87" i="11" s="1"/>
  <c r="V90" i="11"/>
  <c r="V87" i="11" s="1"/>
  <c r="M103" i="11"/>
  <c r="M87" i="11"/>
  <c r="L103" i="11"/>
  <c r="M42" i="11"/>
  <c r="K103" i="11"/>
  <c r="K87" i="11"/>
  <c r="S36" i="11"/>
  <c r="P42" i="11"/>
  <c r="P23" i="11" s="1"/>
  <c r="P21" i="11" s="1"/>
  <c r="P20" i="11" s="1"/>
  <c r="N61" i="11"/>
  <c r="S74" i="11"/>
  <c r="S73" i="11" s="1"/>
  <c r="K42" i="11"/>
  <c r="Q25" i="11"/>
  <c r="Q24" i="11" s="1"/>
  <c r="V61" i="11"/>
  <c r="V25" i="11"/>
  <c r="T42" i="11"/>
  <c r="T23" i="11" s="1"/>
  <c r="T21" i="11" s="1"/>
  <c r="L97" i="11"/>
  <c r="V43" i="11"/>
  <c r="V65" i="11"/>
  <c r="K97" i="11"/>
  <c r="Q74" i="11"/>
  <c r="Q73" i="11" s="1"/>
  <c r="K24" i="11"/>
  <c r="K23" i="11" s="1"/>
  <c r="K21" i="11" s="1"/>
  <c r="K20" i="11" s="1"/>
  <c r="R42" i="11"/>
  <c r="L42" i="11"/>
  <c r="L23" i="11" s="1"/>
  <c r="L21" i="11" s="1"/>
  <c r="W42" i="11"/>
  <c r="W23" i="11" s="1"/>
  <c r="W21" i="11" s="1"/>
  <c r="W20" i="11" s="1"/>
  <c r="S44" i="11"/>
  <c r="S43" i="11" s="1"/>
  <c r="N46" i="11"/>
  <c r="S64" i="11"/>
  <c r="S61" i="11" s="1"/>
  <c r="S66" i="11"/>
  <c r="S65" i="11" s="1"/>
  <c r="Q61" i="11"/>
  <c r="Q42" i="11" s="1"/>
  <c r="V69" i="11"/>
  <c r="U42" i="11"/>
  <c r="N43" i="11"/>
  <c r="N42" i="11" s="1"/>
  <c r="O24" i="11"/>
  <c r="O23" i="11" s="1"/>
  <c r="O21" i="11" s="1"/>
  <c r="U24" i="11"/>
  <c r="S24" i="11"/>
  <c r="N74" i="11"/>
  <c r="N73" i="11" s="1"/>
  <c r="N39" i="11"/>
  <c r="N36" i="11" s="1"/>
  <c r="V36" i="11"/>
  <c r="V24" i="11" s="1"/>
  <c r="AE188" i="11" l="1"/>
  <c r="AE19" i="11"/>
  <c r="AE9" i="11" s="1"/>
  <c r="AC190" i="11"/>
  <c r="AC188" i="11" s="1"/>
  <c r="AC23" i="11"/>
  <c r="AC21" i="11" s="1"/>
  <c r="AC20" i="11" s="1"/>
  <c r="AC19" i="11" s="1"/>
  <c r="AC9" i="11" s="1"/>
  <c r="Y188" i="11"/>
  <c r="Y19" i="11" s="1"/>
  <c r="Y9" i="11" s="1"/>
  <c r="Z19" i="11"/>
  <c r="Z9" i="11" s="1"/>
  <c r="X23" i="11"/>
  <c r="X21" i="11" s="1"/>
  <c r="X20" i="11" s="1"/>
  <c r="X19" i="11" s="1"/>
  <c r="X9" i="11" s="1"/>
  <c r="L20" i="11"/>
  <c r="V42" i="11"/>
  <c r="R23" i="11"/>
  <c r="R21" i="11" s="1"/>
  <c r="R20" i="11" s="1"/>
  <c r="V97" i="11"/>
  <c r="T20" i="11"/>
  <c r="O20" i="11"/>
  <c r="Q23" i="11"/>
  <c r="Q21" i="11" s="1"/>
  <c r="Q20" i="11" s="1"/>
  <c r="U23" i="11"/>
  <c r="U21" i="11" s="1"/>
  <c r="U20" i="11" s="1"/>
  <c r="V23" i="11"/>
  <c r="V21" i="11" s="1"/>
  <c r="V20" i="11" s="1"/>
  <c r="S42" i="11"/>
  <c r="S23" i="11" s="1"/>
  <c r="S21" i="11" s="1"/>
  <c r="S20" i="11" s="1"/>
  <c r="N24" i="11"/>
  <c r="N23" i="11" s="1"/>
  <c r="N21" i="11" s="1"/>
  <c r="N20" i="11" s="1"/>
  <c r="U283" i="11" l="1"/>
  <c r="U282" i="11"/>
  <c r="U281" i="11"/>
  <c r="U280" i="11"/>
  <c r="U279" i="11"/>
  <c r="U268" i="11"/>
  <c r="U267" i="11"/>
  <c r="U265" i="11"/>
  <c r="U263" i="11"/>
  <c r="U254" i="11"/>
  <c r="U253" i="11"/>
  <c r="U252" i="11"/>
  <c r="U251" i="11"/>
  <c r="U247" i="11"/>
  <c r="U245" i="11"/>
  <c r="T298" i="11"/>
  <c r="S287" i="11" l="1"/>
  <c r="S298" i="11"/>
  <c r="S361" i="11"/>
  <c r="N329" i="11"/>
  <c r="R382" i="11"/>
  <c r="R367" i="11"/>
  <c r="A2" i="12" l="1"/>
  <c r="O16" i="11"/>
  <c r="P16" i="11"/>
  <c r="Q16" i="11"/>
  <c r="R16" i="11"/>
  <c r="T16" i="11"/>
  <c r="U16" i="11"/>
  <c r="V16" i="11"/>
  <c r="W16" i="11"/>
  <c r="S18" i="11"/>
  <c r="S16" i="11" s="1"/>
  <c r="N18" i="11"/>
  <c r="N16" i="11" s="1"/>
  <c r="AE17" i="12"/>
  <c r="AE16" i="12" s="1"/>
  <c r="AD17" i="12"/>
  <c r="AD16" i="12" s="1"/>
  <c r="Z17" i="12"/>
  <c r="Z16" i="12" s="1"/>
  <c r="Y17" i="12"/>
  <c r="Y16" i="12" s="1"/>
  <c r="AA14" i="12"/>
  <c r="AB14" i="12"/>
  <c r="AC14" i="12"/>
  <c r="Z15" i="12"/>
  <c r="Z14" i="12" s="1"/>
  <c r="AA16" i="12"/>
  <c r="AA13" i="12" s="1"/>
  <c r="AB16" i="12"/>
  <c r="AB13" i="12" s="1"/>
  <c r="AC16" i="12"/>
  <c r="AC13" i="12" s="1"/>
  <c r="P17" i="12"/>
  <c r="P16" i="12" s="1"/>
  <c r="AI16" i="12"/>
  <c r="AH16" i="12"/>
  <c r="AG16" i="12"/>
  <c r="AF16" i="12"/>
  <c r="X16" i="12"/>
  <c r="W16" i="12"/>
  <c r="V16" i="12"/>
  <c r="U16" i="12"/>
  <c r="T16" i="12"/>
  <c r="R16" i="12"/>
  <c r="Q16" i="12"/>
  <c r="AE15" i="12"/>
  <c r="AD15" i="12" s="1"/>
  <c r="AD14" i="12" s="1"/>
  <c r="O15" i="12"/>
  <c r="AH14" i="12"/>
  <c r="AG14" i="12"/>
  <c r="AF14" i="12"/>
  <c r="X14" i="12"/>
  <c r="W14" i="12"/>
  <c r="V14" i="12"/>
  <c r="S14" i="12"/>
  <c r="R14" i="12"/>
  <c r="Q14" i="12"/>
  <c r="P14" i="12"/>
  <c r="O14" i="12"/>
  <c r="N14" i="12"/>
  <c r="M14" i="12"/>
  <c r="L14" i="12"/>
  <c r="AE14" i="12" l="1"/>
  <c r="Z13" i="12"/>
  <c r="Y15" i="12"/>
  <c r="Y14" i="12" s="1"/>
  <c r="Y13" i="12" s="1"/>
  <c r="N17" i="12"/>
  <c r="O17" i="12"/>
  <c r="O16" i="12" s="1"/>
  <c r="O13" i="12" s="1"/>
  <c r="S16" i="12"/>
  <c r="N340" i="11" l="1"/>
  <c r="S340" i="11"/>
  <c r="N386" i="11"/>
  <c r="N385" i="11"/>
  <c r="N384" i="11"/>
  <c r="AH383" i="11"/>
  <c r="R383" i="11"/>
  <c r="Q383" i="11"/>
  <c r="P383" i="11"/>
  <c r="O383" i="11"/>
  <c r="M383" i="11"/>
  <c r="L383" i="11"/>
  <c r="K383" i="11"/>
  <c r="N382" i="11"/>
  <c r="N381" i="11"/>
  <c r="R380" i="11"/>
  <c r="Q380" i="11"/>
  <c r="P380" i="11"/>
  <c r="O380" i="11"/>
  <c r="M380" i="11"/>
  <c r="L380" i="11"/>
  <c r="K380" i="11"/>
  <c r="N378" i="11"/>
  <c r="N377" i="11"/>
  <c r="N376" i="11"/>
  <c r="N375" i="11"/>
  <c r="AH374" i="11"/>
  <c r="R374" i="11"/>
  <c r="Q374" i="11"/>
  <c r="P374" i="11"/>
  <c r="O374" i="11"/>
  <c r="M374" i="11"/>
  <c r="L374" i="11"/>
  <c r="K374" i="11"/>
  <c r="N373" i="11"/>
  <c r="N372" i="11" s="1"/>
  <c r="R372" i="11"/>
  <c r="Q372" i="11"/>
  <c r="P372" i="11"/>
  <c r="O372" i="11"/>
  <c r="M372" i="11"/>
  <c r="L372" i="11"/>
  <c r="K372" i="11"/>
  <c r="R371" i="11"/>
  <c r="R365" i="11" s="1"/>
  <c r="N370" i="11"/>
  <c r="N369" i="11"/>
  <c r="N368" i="11"/>
  <c r="N367" i="11"/>
  <c r="N366" i="11"/>
  <c r="AH365" i="11"/>
  <c r="Q365" i="11"/>
  <c r="P365" i="11"/>
  <c r="O365" i="11"/>
  <c r="M365" i="11"/>
  <c r="L365" i="11"/>
  <c r="K365" i="11"/>
  <c r="N296" i="11"/>
  <c r="L339" i="11"/>
  <c r="M339" i="11"/>
  <c r="O339" i="11"/>
  <c r="Q339" i="11"/>
  <c r="R339" i="11"/>
  <c r="T339" i="11"/>
  <c r="V339" i="11"/>
  <c r="W339" i="11"/>
  <c r="K339" i="11"/>
  <c r="S362" i="11"/>
  <c r="N362" i="11"/>
  <c r="N361" i="11"/>
  <c r="S360" i="11"/>
  <c r="N360" i="11"/>
  <c r="S359" i="11"/>
  <c r="N359" i="11"/>
  <c r="S358" i="11"/>
  <c r="P358" i="11"/>
  <c r="N358" i="11" s="1"/>
  <c r="S357" i="11"/>
  <c r="N357" i="11"/>
  <c r="S356" i="11"/>
  <c r="N356" i="11"/>
  <c r="N355" i="11"/>
  <c r="S354" i="11"/>
  <c r="N354" i="11"/>
  <c r="S353" i="11"/>
  <c r="N353" i="11"/>
  <c r="S352" i="11"/>
  <c r="N352" i="11"/>
  <c r="S351" i="11"/>
  <c r="N351" i="11"/>
  <c r="S350" i="11"/>
  <c r="N350" i="11"/>
  <c r="S349" i="11"/>
  <c r="N349" i="11"/>
  <c r="S348" i="11"/>
  <c r="N348" i="11"/>
  <c r="S347" i="11"/>
  <c r="N347" i="11"/>
  <c r="S346" i="11"/>
  <c r="N346" i="11"/>
  <c r="S345" i="11"/>
  <c r="N345" i="11"/>
  <c r="S344" i="11"/>
  <c r="N344" i="11"/>
  <c r="S343" i="11"/>
  <c r="N343" i="11"/>
  <c r="S342" i="11"/>
  <c r="N342" i="11"/>
  <c r="S341" i="11"/>
  <c r="N341" i="11"/>
  <c r="S338" i="11"/>
  <c r="N338" i="11"/>
  <c r="S337" i="11"/>
  <c r="N337" i="11"/>
  <c r="S336" i="11"/>
  <c r="N336" i="11"/>
  <c r="S335" i="11"/>
  <c r="N335" i="11"/>
  <c r="S334" i="11"/>
  <c r="N334" i="11"/>
  <c r="S333" i="11"/>
  <c r="N333" i="11"/>
  <c r="S332" i="11"/>
  <c r="N332" i="11"/>
  <c r="S331" i="11"/>
  <c r="N331" i="11"/>
  <c r="S330" i="11"/>
  <c r="N330" i="11"/>
  <c r="S329" i="11"/>
  <c r="S328" i="11"/>
  <c r="N328" i="11"/>
  <c r="S327" i="11"/>
  <c r="N327" i="11"/>
  <c r="S326" i="11"/>
  <c r="N326" i="11"/>
  <c r="S325" i="11"/>
  <c r="N325" i="11"/>
  <c r="S324" i="11"/>
  <c r="N324" i="11"/>
  <c r="S323" i="11"/>
  <c r="N323" i="11"/>
  <c r="S322" i="11"/>
  <c r="N322" i="11"/>
  <c r="S321" i="11"/>
  <c r="N321" i="11"/>
  <c r="S320" i="11"/>
  <c r="N320" i="11"/>
  <c r="S319" i="11"/>
  <c r="N319" i="11"/>
  <c r="S318" i="11"/>
  <c r="N318" i="11"/>
  <c r="S317" i="11"/>
  <c r="N317" i="11"/>
  <c r="S316" i="11"/>
  <c r="N316" i="11"/>
  <c r="S315" i="11"/>
  <c r="N315" i="11"/>
  <c r="S314" i="11"/>
  <c r="N314" i="11"/>
  <c r="S313" i="11"/>
  <c r="N313" i="11"/>
  <c r="S312" i="11"/>
  <c r="N312" i="11"/>
  <c r="S311" i="11"/>
  <c r="N311" i="11"/>
  <c r="S310" i="11"/>
  <c r="N310" i="11"/>
  <c r="S309" i="11"/>
  <c r="N309" i="11"/>
  <c r="S308" i="11"/>
  <c r="N308" i="11"/>
  <c r="S307" i="11"/>
  <c r="N307" i="11"/>
  <c r="S306" i="11"/>
  <c r="N306" i="11"/>
  <c r="S305" i="11"/>
  <c r="N305" i="11"/>
  <c r="S304" i="11"/>
  <c r="N304" i="11"/>
  <c r="S303" i="11"/>
  <c r="N303" i="11"/>
  <c r="S302" i="11"/>
  <c r="N302" i="11"/>
  <c r="S301" i="11"/>
  <c r="N301" i="11"/>
  <c r="S300" i="11"/>
  <c r="N300" i="11"/>
  <c r="S299" i="11"/>
  <c r="N299" i="11"/>
  <c r="N298" i="11"/>
  <c r="S297" i="11"/>
  <c r="N297" i="11"/>
  <c r="S296" i="11"/>
  <c r="S293" i="11"/>
  <c r="N293" i="11"/>
  <c r="S292" i="11"/>
  <c r="O292" i="11"/>
  <c r="N292" i="11" s="1"/>
  <c r="S291" i="11"/>
  <c r="O291" i="11"/>
  <c r="N291" i="11" s="1"/>
  <c r="S290" i="11"/>
  <c r="P290" i="11"/>
  <c r="O290" i="11"/>
  <c r="T289" i="11"/>
  <c r="S289" i="11" s="1"/>
  <c r="N289" i="11"/>
  <c r="S288" i="11"/>
  <c r="N288" i="11"/>
  <c r="N287" i="11"/>
  <c r="S286" i="11"/>
  <c r="N286" i="11"/>
  <c r="S283" i="11"/>
  <c r="P283" i="11"/>
  <c r="N283" i="11" s="1"/>
  <c r="S282" i="11"/>
  <c r="P282" i="11"/>
  <c r="N282" i="11" s="1"/>
  <c r="S281" i="11"/>
  <c r="P281" i="11"/>
  <c r="N281" i="11" s="1"/>
  <c r="S280" i="11"/>
  <c r="P280" i="11"/>
  <c r="N280" i="11" s="1"/>
  <c r="S279" i="11"/>
  <c r="P279" i="11"/>
  <c r="N279" i="11" s="1"/>
  <c r="S276" i="11"/>
  <c r="N276" i="11"/>
  <c r="T275" i="11"/>
  <c r="S275" i="11" s="1"/>
  <c r="O275" i="11"/>
  <c r="N275" i="11" s="1"/>
  <c r="U274" i="11"/>
  <c r="S274" i="11" s="1"/>
  <c r="P274" i="11"/>
  <c r="N274" i="11" s="1"/>
  <c r="S271" i="11"/>
  <c r="P271" i="11"/>
  <c r="N271" i="11" s="1"/>
  <c r="S270" i="11"/>
  <c r="N270" i="11"/>
  <c r="S268" i="11"/>
  <c r="P268" i="11"/>
  <c r="N268" i="11" s="1"/>
  <c r="S267" i="11"/>
  <c r="P267" i="11"/>
  <c r="N267" i="11" s="1"/>
  <c r="S266" i="11"/>
  <c r="N266" i="11"/>
  <c r="S265" i="11"/>
  <c r="P265" i="11"/>
  <c r="N265" i="11" s="1"/>
  <c r="S264" i="11"/>
  <c r="N264" i="11"/>
  <c r="S263" i="11"/>
  <c r="P263" i="11"/>
  <c r="N263" i="11" s="1"/>
  <c r="S262" i="11"/>
  <c r="N262" i="11"/>
  <c r="S261" i="11"/>
  <c r="N261" i="11"/>
  <c r="U259" i="11"/>
  <c r="T259" i="11"/>
  <c r="P259" i="11"/>
  <c r="N259" i="11" s="1"/>
  <c r="U258" i="11"/>
  <c r="S258" i="11" s="1"/>
  <c r="P258" i="11"/>
  <c r="N258" i="11" s="1"/>
  <c r="S257" i="11"/>
  <c r="N257" i="11"/>
  <c r="S256" i="11"/>
  <c r="N256" i="11"/>
  <c r="S254" i="11"/>
  <c r="P254" i="11"/>
  <c r="N254" i="11" s="1"/>
  <c r="S253" i="11"/>
  <c r="P253" i="11"/>
  <c r="N253" i="11" s="1"/>
  <c r="S252" i="11"/>
  <c r="P252" i="11"/>
  <c r="N252" i="11" s="1"/>
  <c r="S251" i="11"/>
  <c r="P251" i="11"/>
  <c r="N251" i="11" s="1"/>
  <c r="S250" i="11"/>
  <c r="N250" i="11"/>
  <c r="S249" i="11"/>
  <c r="N249" i="11"/>
  <c r="K191" i="11"/>
  <c r="S247" i="11"/>
  <c r="P247" i="11"/>
  <c r="N247" i="11" s="1"/>
  <c r="S246" i="11"/>
  <c r="N246" i="11"/>
  <c r="S245" i="11"/>
  <c r="P245" i="11"/>
  <c r="N245" i="11" s="1"/>
  <c r="U244" i="11"/>
  <c r="S244" i="11" s="1"/>
  <c r="P244" i="11"/>
  <c r="N244" i="11" s="1"/>
  <c r="U243" i="11"/>
  <c r="S243" i="11" s="1"/>
  <c r="N243" i="11"/>
  <c r="U242" i="11"/>
  <c r="S242" i="11" s="1"/>
  <c r="P242" i="11"/>
  <c r="N242" i="11" s="1"/>
  <c r="S241" i="11"/>
  <c r="P241" i="11"/>
  <c r="N241" i="11" s="1"/>
  <c r="S240" i="11"/>
  <c r="P240" i="11"/>
  <c r="N240" i="11" s="1"/>
  <c r="S239" i="11"/>
  <c r="N239" i="11"/>
  <c r="U238" i="11"/>
  <c r="S238" i="11" s="1"/>
  <c r="N238" i="11"/>
  <c r="U237" i="11"/>
  <c r="S237" i="11" s="1"/>
  <c r="P237" i="11"/>
  <c r="N237" i="11" s="1"/>
  <c r="U236" i="11"/>
  <c r="S236" i="11" s="1"/>
  <c r="N236" i="11"/>
  <c r="U235" i="11"/>
  <c r="S235" i="11" s="1"/>
  <c r="P235" i="11"/>
  <c r="N235" i="11" s="1"/>
  <c r="U234" i="11"/>
  <c r="S234" i="11" s="1"/>
  <c r="P234" i="11"/>
  <c r="N234" i="11" s="1"/>
  <c r="U233" i="11"/>
  <c r="S233" i="11" s="1"/>
  <c r="P233" i="11"/>
  <c r="N233" i="11" s="1"/>
  <c r="U232" i="11"/>
  <c r="S232" i="11" s="1"/>
  <c r="P232" i="11"/>
  <c r="N232" i="11" s="1"/>
  <c r="U231" i="11"/>
  <c r="S231" i="11" s="1"/>
  <c r="P231" i="11"/>
  <c r="N231" i="11" s="1"/>
  <c r="U230" i="11"/>
  <c r="S230" i="11" s="1"/>
  <c r="P230" i="11"/>
  <c r="N230" i="11" s="1"/>
  <c r="U229" i="11"/>
  <c r="S229" i="11" s="1"/>
  <c r="P229" i="11"/>
  <c r="N229" i="11" s="1"/>
  <c r="U228" i="11"/>
  <c r="S228" i="11" s="1"/>
  <c r="N228" i="11"/>
  <c r="U227" i="11"/>
  <c r="S227" i="11" s="1"/>
  <c r="P227" i="11"/>
  <c r="N227" i="11" s="1"/>
  <c r="U226" i="11"/>
  <c r="S226" i="11" s="1"/>
  <c r="P226" i="11"/>
  <c r="N226" i="11" s="1"/>
  <c r="U225" i="11"/>
  <c r="S225" i="11" s="1"/>
  <c r="P225" i="11"/>
  <c r="N225" i="11" s="1"/>
  <c r="U224" i="11"/>
  <c r="S224" i="11" s="1"/>
  <c r="P224" i="11"/>
  <c r="N224" i="11" s="1"/>
  <c r="U223" i="11"/>
  <c r="S223" i="11" s="1"/>
  <c r="P223" i="11"/>
  <c r="N223" i="11" s="1"/>
  <c r="U222" i="11"/>
  <c r="S222" i="11" s="1"/>
  <c r="P222" i="11"/>
  <c r="N222" i="11" s="1"/>
  <c r="U221" i="11"/>
  <c r="S221" i="11" s="1"/>
  <c r="P221" i="11"/>
  <c r="N221" i="11" s="1"/>
  <c r="U220" i="11"/>
  <c r="S220" i="11" s="1"/>
  <c r="P220" i="11"/>
  <c r="N220" i="11" s="1"/>
  <c r="U219" i="11"/>
  <c r="S219" i="11" s="1"/>
  <c r="P219" i="11"/>
  <c r="N219" i="11" s="1"/>
  <c r="U218" i="11"/>
  <c r="S218" i="11" s="1"/>
  <c r="P218" i="11"/>
  <c r="N218" i="11" s="1"/>
  <c r="U217" i="11"/>
  <c r="S217" i="11" s="1"/>
  <c r="P217" i="11"/>
  <c r="N217" i="11" s="1"/>
  <c r="U216" i="11"/>
  <c r="S216" i="11" s="1"/>
  <c r="P216" i="11"/>
  <c r="N216" i="11" s="1"/>
  <c r="U215" i="11"/>
  <c r="S215" i="11" s="1"/>
  <c r="N215" i="11"/>
  <c r="U214" i="11"/>
  <c r="S214" i="11" s="1"/>
  <c r="P214" i="11"/>
  <c r="N214" i="11" s="1"/>
  <c r="U213" i="11"/>
  <c r="S213" i="11" s="1"/>
  <c r="P213" i="11"/>
  <c r="N213" i="11" s="1"/>
  <c r="S212" i="11"/>
  <c r="N212" i="11"/>
  <c r="U211" i="11"/>
  <c r="S211" i="11" s="1"/>
  <c r="P211" i="11"/>
  <c r="N211" i="11" s="1"/>
  <c r="U210" i="11"/>
  <c r="S210" i="11" s="1"/>
  <c r="P210" i="11"/>
  <c r="N210" i="11" s="1"/>
  <c r="U209" i="11"/>
  <c r="S209" i="11" s="1"/>
  <c r="P209" i="11"/>
  <c r="N209" i="11" s="1"/>
  <c r="S208" i="11"/>
  <c r="P208" i="11"/>
  <c r="N208" i="11" s="1"/>
  <c r="S207" i="11"/>
  <c r="P207" i="11"/>
  <c r="N207" i="11" s="1"/>
  <c r="U206" i="11"/>
  <c r="S206" i="11" s="1"/>
  <c r="P206" i="11"/>
  <c r="N206" i="11" s="1"/>
  <c r="U205" i="11"/>
  <c r="S205" i="11" s="1"/>
  <c r="P205" i="11"/>
  <c r="N205" i="11" s="1"/>
  <c r="S204" i="11"/>
  <c r="N204" i="11"/>
  <c r="S203" i="11"/>
  <c r="N203" i="11"/>
  <c r="S202" i="11"/>
  <c r="N202" i="11"/>
  <c r="S201" i="11"/>
  <c r="N201" i="11"/>
  <c r="T200" i="11"/>
  <c r="S200" i="11" s="1"/>
  <c r="O200" i="11"/>
  <c r="N200" i="11" s="1"/>
  <c r="S199" i="11"/>
  <c r="N199" i="11"/>
  <c r="S198" i="11"/>
  <c r="N198" i="11"/>
  <c r="S197" i="11"/>
  <c r="N197" i="11"/>
  <c r="S196" i="11"/>
  <c r="N196" i="11"/>
  <c r="S195" i="11"/>
  <c r="N195" i="11"/>
  <c r="S194" i="11"/>
  <c r="N194" i="11"/>
  <c r="S193" i="11"/>
  <c r="N193" i="11"/>
  <c r="S192" i="11"/>
  <c r="N192" i="11"/>
  <c r="T15" i="11"/>
  <c r="S15" i="11" s="1"/>
  <c r="N15" i="11"/>
  <c r="W14" i="11"/>
  <c r="W13" i="11" s="1"/>
  <c r="V14" i="11"/>
  <c r="V13" i="11" s="1"/>
  <c r="U14" i="11"/>
  <c r="U13" i="11" s="1"/>
  <c r="R14" i="11"/>
  <c r="R13" i="11" s="1"/>
  <c r="Q14" i="11"/>
  <c r="Q13" i="11" s="1"/>
  <c r="P14" i="11"/>
  <c r="P13" i="11" s="1"/>
  <c r="O14" i="11"/>
  <c r="O13" i="11" s="1"/>
  <c r="M14" i="11"/>
  <c r="M13" i="11" s="1"/>
  <c r="M10" i="11" s="1"/>
  <c r="L14" i="11"/>
  <c r="L13" i="11" s="1"/>
  <c r="K14" i="11"/>
  <c r="K13" i="11" s="1"/>
  <c r="K10" i="11" s="1"/>
  <c r="S12" i="11"/>
  <c r="S11" i="11" s="1"/>
  <c r="N12" i="11"/>
  <c r="N11" i="11" s="1"/>
  <c r="AH11" i="11"/>
  <c r="AH10" i="11" s="1"/>
  <c r="W11" i="11"/>
  <c r="V11" i="11"/>
  <c r="U11" i="11"/>
  <c r="T11" i="11"/>
  <c r="R11" i="11"/>
  <c r="Q11" i="11"/>
  <c r="P11" i="11"/>
  <c r="O11" i="11"/>
  <c r="L379" i="11" l="1"/>
  <c r="K364" i="11"/>
  <c r="S259" i="11"/>
  <c r="N339" i="11"/>
  <c r="N290" i="11"/>
  <c r="O364" i="11"/>
  <c r="K379" i="11"/>
  <c r="K363" i="11" s="1"/>
  <c r="R379" i="11"/>
  <c r="N380" i="11"/>
  <c r="P364" i="11"/>
  <c r="L364" i="11"/>
  <c r="L363" i="11" s="1"/>
  <c r="N371" i="11"/>
  <c r="N365" i="11" s="1"/>
  <c r="N374" i="11"/>
  <c r="P379" i="11"/>
  <c r="Q379" i="11"/>
  <c r="N383" i="11"/>
  <c r="S339" i="11"/>
  <c r="O379" i="11"/>
  <c r="Q364" i="11"/>
  <c r="R364" i="11"/>
  <c r="P339" i="11"/>
  <c r="U339" i="11"/>
  <c r="M364" i="11"/>
  <c r="M379" i="11"/>
  <c r="R10" i="11"/>
  <c r="N14" i="11"/>
  <c r="N13" i="11" s="1"/>
  <c r="N10" i="11" s="1"/>
  <c r="O10" i="11"/>
  <c r="W10" i="11"/>
  <c r="S14" i="11"/>
  <c r="S13" i="11" s="1"/>
  <c r="S10" i="11" s="1"/>
  <c r="Q10" i="11"/>
  <c r="U10" i="11"/>
  <c r="P10" i="11"/>
  <c r="V10" i="11"/>
  <c r="T14" i="11"/>
  <c r="T13" i="11" s="1"/>
  <c r="T10" i="11" s="1"/>
  <c r="P363" i="11" l="1"/>
  <c r="O363" i="11"/>
  <c r="N379" i="11"/>
  <c r="R363" i="11"/>
  <c r="Q363" i="11"/>
  <c r="N364" i="11"/>
  <c r="M363" i="11"/>
  <c r="N363" i="11" l="1"/>
  <c r="AH363" i="11"/>
  <c r="K278" i="11" l="1"/>
  <c r="K277" i="11" s="1"/>
  <c r="L273" i="11"/>
  <c r="M273" i="11"/>
  <c r="O273" i="11"/>
  <c r="P273" i="11"/>
  <c r="Q273" i="11"/>
  <c r="R273" i="11"/>
  <c r="T273" i="11"/>
  <c r="V273" i="11"/>
  <c r="W273" i="11"/>
  <c r="K273" i="11"/>
  <c r="L260" i="11"/>
  <c r="M260" i="11"/>
  <c r="O260" i="11"/>
  <c r="P260" i="11"/>
  <c r="Q260" i="11"/>
  <c r="R260" i="11"/>
  <c r="T260" i="11"/>
  <c r="V260" i="11"/>
  <c r="W260" i="11"/>
  <c r="K260" i="11"/>
  <c r="L255" i="11"/>
  <c r="M255" i="11"/>
  <c r="O255" i="11"/>
  <c r="Q255" i="11"/>
  <c r="R255" i="11"/>
  <c r="T255" i="11"/>
  <c r="V255" i="11"/>
  <c r="W255" i="11"/>
  <c r="AH255" i="11"/>
  <c r="K255" i="11"/>
  <c r="L248" i="11"/>
  <c r="M248" i="11"/>
  <c r="O248" i="11"/>
  <c r="P248" i="11"/>
  <c r="Q248" i="11"/>
  <c r="R248" i="11"/>
  <c r="T248" i="11"/>
  <c r="V248" i="11"/>
  <c r="W248" i="11"/>
  <c r="AH248" i="11"/>
  <c r="K248" i="11"/>
  <c r="L191" i="11"/>
  <c r="M191" i="11"/>
  <c r="Q191" i="11"/>
  <c r="R191" i="11"/>
  <c r="V191" i="11"/>
  <c r="W191" i="11"/>
  <c r="AH191" i="11"/>
  <c r="AH339" i="11"/>
  <c r="L278" i="11"/>
  <c r="L277" i="11" s="1"/>
  <c r="M278" i="11"/>
  <c r="M277" i="11" s="1"/>
  <c r="O278" i="11"/>
  <c r="O277" i="11" s="1"/>
  <c r="P278" i="11"/>
  <c r="P277" i="11" s="1"/>
  <c r="Q278" i="11"/>
  <c r="Q277" i="11" s="1"/>
  <c r="R278" i="11"/>
  <c r="R277" i="11" s="1"/>
  <c r="T278" i="11"/>
  <c r="T277" i="11" s="1"/>
  <c r="V278" i="11"/>
  <c r="V277" i="11" s="1"/>
  <c r="W278" i="11"/>
  <c r="W277" i="11" s="1"/>
  <c r="L269" i="11"/>
  <c r="M269" i="11"/>
  <c r="O269" i="11"/>
  <c r="P269" i="11"/>
  <c r="Q269" i="11"/>
  <c r="R269" i="11"/>
  <c r="T269" i="11"/>
  <c r="U269" i="11"/>
  <c r="V269" i="11"/>
  <c r="W269" i="11"/>
  <c r="K269" i="11"/>
  <c r="P255" i="11" l="1"/>
  <c r="L285" i="11"/>
  <c r="M285" i="11"/>
  <c r="O285" i="11"/>
  <c r="P285" i="11"/>
  <c r="Q285" i="11"/>
  <c r="R285" i="11"/>
  <c r="U285" i="11"/>
  <c r="V285" i="11"/>
  <c r="W285" i="11"/>
  <c r="AH285" i="11"/>
  <c r="K285" i="11"/>
  <c r="U255" i="11" l="1"/>
  <c r="S255" i="11"/>
  <c r="N255" i="11"/>
  <c r="U278" i="11"/>
  <c r="U277" i="11" s="1"/>
  <c r="S269" i="11"/>
  <c r="N269" i="11"/>
  <c r="AH88" i="11"/>
  <c r="U260" i="11" l="1"/>
  <c r="U191" i="11"/>
  <c r="S273" i="11"/>
  <c r="U273" i="11"/>
  <c r="S248" i="11"/>
  <c r="U248" i="11"/>
  <c r="T191" i="11"/>
  <c r="S278" i="11"/>
  <c r="S277" i="11" s="1"/>
  <c r="S260" i="11"/>
  <c r="S285" i="11"/>
  <c r="T285" i="11"/>
  <c r="S191" i="11" l="1"/>
  <c r="O295" i="11" l="1"/>
  <c r="O294" i="11" s="1"/>
  <c r="Q295" i="11"/>
  <c r="Q294" i="11" s="1"/>
  <c r="R295" i="11"/>
  <c r="R294" i="11" s="1"/>
  <c r="V295" i="11"/>
  <c r="V294" i="11" s="1"/>
  <c r="W295" i="11"/>
  <c r="W294" i="11" s="1"/>
  <c r="N273" i="11"/>
  <c r="N260" i="11"/>
  <c r="O191" i="11"/>
  <c r="U30" i="12"/>
  <c r="V30" i="12"/>
  <c r="X30" i="12"/>
  <c r="N248" i="11" l="1"/>
  <c r="P191" i="11"/>
  <c r="N278" i="11"/>
  <c r="N277" i="11" s="1"/>
  <c r="N285" i="11"/>
  <c r="N295" i="11"/>
  <c r="N294" i="11" s="1"/>
  <c r="P295" i="11"/>
  <c r="P294" i="11" s="1"/>
  <c r="S295" i="11"/>
  <c r="S294" i="11" s="1"/>
  <c r="U295" i="11"/>
  <c r="U294" i="11" s="1"/>
  <c r="T295" i="11"/>
  <c r="T294" i="11" s="1"/>
  <c r="W30" i="12"/>
  <c r="T30" i="12" s="1"/>
  <c r="N191" i="11" l="1"/>
  <c r="B37" i="12"/>
  <c r="AF40" i="12" l="1"/>
  <c r="AG40" i="12"/>
  <c r="AH40" i="12"/>
  <c r="AE40" i="12"/>
  <c r="AA40" i="12"/>
  <c r="AB40" i="12"/>
  <c r="AC40" i="12"/>
  <c r="Z40" i="12"/>
  <c r="V40" i="12"/>
  <c r="W40" i="12"/>
  <c r="X40" i="12"/>
  <c r="U40" i="12"/>
  <c r="S40" i="12"/>
  <c r="R40" i="12"/>
  <c r="U35" i="12"/>
  <c r="V35" i="12"/>
  <c r="W35" i="12"/>
  <c r="X35" i="12"/>
  <c r="Z35" i="12"/>
  <c r="AA35" i="12"/>
  <c r="AB35" i="12"/>
  <c r="AC35" i="12"/>
  <c r="AE35" i="12"/>
  <c r="AF35" i="12"/>
  <c r="AG35" i="12"/>
  <c r="AH35" i="12"/>
  <c r="AH104" i="11"/>
  <c r="S28" i="12"/>
  <c r="N39" i="12"/>
  <c r="Q40" i="12"/>
  <c r="P40" i="12"/>
  <c r="AC10" i="12"/>
  <c r="AG46" i="12"/>
  <c r="AF46" i="12"/>
  <c r="AE46" i="12"/>
  <c r="AF13" i="12"/>
  <c r="AF10" i="12" s="1"/>
  <c r="AB46" i="12"/>
  <c r="AA46" i="12"/>
  <c r="Z46" i="12"/>
  <c r="AA10" i="12"/>
  <c r="S45" i="12"/>
  <c r="AA45" i="12"/>
  <c r="L295" i="11"/>
  <c r="L294" i="11" s="1"/>
  <c r="M295" i="11"/>
  <c r="M294" i="11" s="1"/>
  <c r="R45" i="12"/>
  <c r="W45" i="12"/>
  <c r="Z45" i="12"/>
  <c r="AE45" i="12"/>
  <c r="AF45" i="12"/>
  <c r="AG45" i="12"/>
  <c r="AH45" i="12"/>
  <c r="K295" i="11"/>
  <c r="K294" i="11" s="1"/>
  <c r="P43" i="12"/>
  <c r="Q43" i="12"/>
  <c r="R43" i="12"/>
  <c r="S43" i="12"/>
  <c r="U43" i="12"/>
  <c r="V43" i="12"/>
  <c r="W43" i="12"/>
  <c r="X43" i="12"/>
  <c r="Z43" i="12"/>
  <c r="AA43" i="12"/>
  <c r="AB43" i="12"/>
  <c r="AC43" i="12"/>
  <c r="AE43" i="12"/>
  <c r="AF43" i="12"/>
  <c r="AG43" i="12"/>
  <c r="AH43" i="12"/>
  <c r="L43" i="12"/>
  <c r="P45" i="12" l="1"/>
  <c r="V45" i="12"/>
  <c r="U45" i="12"/>
  <c r="X45" i="12"/>
  <c r="AD40" i="12"/>
  <c r="AC45" i="12"/>
  <c r="AB45" i="12"/>
  <c r="T35" i="12"/>
  <c r="Y40" i="12"/>
  <c r="AD45" i="12"/>
  <c r="AE13" i="12"/>
  <c r="AE10" i="12" s="1"/>
  <c r="Y43" i="12"/>
  <c r="O43" i="12"/>
  <c r="AD43" i="12"/>
  <c r="T43" i="12"/>
  <c r="T40" i="12"/>
  <c r="Y35" i="12"/>
  <c r="AD35" i="12"/>
  <c r="AG13" i="12"/>
  <c r="AG10" i="12" s="1"/>
  <c r="AB10" i="12"/>
  <c r="Y10" i="12"/>
  <c r="Z10" i="12"/>
  <c r="AH13" i="12"/>
  <c r="AH10" i="12" s="1"/>
  <c r="K190" i="11"/>
  <c r="R190" i="11"/>
  <c r="V190" i="11"/>
  <c r="O190" i="11"/>
  <c r="P190" i="11"/>
  <c r="U190" i="11"/>
  <c r="M190" i="11"/>
  <c r="T190" i="11"/>
  <c r="L190" i="11"/>
  <c r="W190" i="11"/>
  <c r="Q190" i="11"/>
  <c r="U41" i="12" l="1"/>
  <c r="V41" i="12"/>
  <c r="AD13" i="12"/>
  <c r="AD10" i="12" s="1"/>
  <c r="T45" i="12"/>
  <c r="Y45" i="12"/>
  <c r="R41" i="12"/>
  <c r="Q41" i="12"/>
  <c r="W41" i="12"/>
  <c r="X41" i="12"/>
  <c r="P41" i="12"/>
  <c r="S41" i="12"/>
  <c r="AF41" i="12"/>
  <c r="AH41" i="12"/>
  <c r="AG41" i="12"/>
  <c r="AE41" i="12"/>
  <c r="AA41" i="12"/>
  <c r="Z41" i="12"/>
  <c r="AC41" i="12"/>
  <c r="AB41" i="12"/>
  <c r="T41" i="12" l="1"/>
  <c r="AD41" i="12"/>
  <c r="Y41" i="12"/>
  <c r="AH44" i="12"/>
  <c r="AG44" i="12"/>
  <c r="AF44" i="12"/>
  <c r="AE44" i="12"/>
  <c r="AH36" i="12"/>
  <c r="AH34" i="12" s="1"/>
  <c r="AG36" i="12"/>
  <c r="AF36" i="12"/>
  <c r="AF34" i="12" s="1"/>
  <c r="AE36" i="12"/>
  <c r="AE34" i="12" s="1"/>
  <c r="AH33" i="12"/>
  <c r="AG33" i="12"/>
  <c r="AF33" i="12"/>
  <c r="AE33" i="12"/>
  <c r="AG32" i="12"/>
  <c r="AG27" i="12"/>
  <c r="AC44" i="12"/>
  <c r="AB44" i="12"/>
  <c r="AA44" i="12"/>
  <c r="Z44" i="12"/>
  <c r="AC36" i="12"/>
  <c r="AC34" i="12" s="1"/>
  <c r="AB36" i="12"/>
  <c r="AA36" i="12"/>
  <c r="AA34" i="12" s="1"/>
  <c r="Z36" i="12"/>
  <c r="Z34" i="12" s="1"/>
  <c r="AC33" i="12"/>
  <c r="AB33" i="12"/>
  <c r="AA33" i="12"/>
  <c r="Z33" i="12"/>
  <c r="AC32" i="12"/>
  <c r="AA32" i="12"/>
  <c r="Z32" i="12"/>
  <c r="AB27" i="12"/>
  <c r="AH47" i="12" l="1"/>
  <c r="AA31" i="12"/>
  <c r="AH24" i="12"/>
  <c r="AB24" i="12"/>
  <c r="AE24" i="12"/>
  <c r="AF24" i="12"/>
  <c r="Y33" i="12"/>
  <c r="Y44" i="12"/>
  <c r="AC38" i="12"/>
  <c r="AC37" i="12" s="1"/>
  <c r="AB26" i="12"/>
  <c r="AB25" i="12" s="1"/>
  <c r="AC31" i="12"/>
  <c r="AE32" i="12"/>
  <c r="AE31" i="12" s="1"/>
  <c r="AD33" i="12"/>
  <c r="Z26" i="12"/>
  <c r="AB38" i="12"/>
  <c r="AB37" i="12" s="1"/>
  <c r="AE26" i="12"/>
  <c r="AE25" i="12" s="1"/>
  <c r="AF32" i="12"/>
  <c r="AF31" i="12" s="1"/>
  <c r="AF26" i="12"/>
  <c r="AF25" i="12" s="1"/>
  <c r="AH32" i="12"/>
  <c r="AH31" i="12" s="1"/>
  <c r="AF38" i="12"/>
  <c r="AF37" i="12" s="1"/>
  <c r="AG38" i="12"/>
  <c r="AA26" i="12"/>
  <c r="AA25" i="12" s="1"/>
  <c r="AE38" i="12"/>
  <c r="AB32" i="12"/>
  <c r="AB31" i="12" s="1"/>
  <c r="Z38" i="12"/>
  <c r="AH38" i="12"/>
  <c r="AH37" i="12" s="1"/>
  <c r="Z31" i="12"/>
  <c r="AA38" i="12"/>
  <c r="AA37" i="12" s="1"/>
  <c r="AD44" i="12"/>
  <c r="AF42" i="12"/>
  <c r="AF39" i="12" s="1"/>
  <c r="AG42" i="12"/>
  <c r="AG39" i="12" s="1"/>
  <c r="AH42" i="12"/>
  <c r="AH39" i="12" s="1"/>
  <c r="AE42" i="12"/>
  <c r="AB42" i="12"/>
  <c r="AB39" i="12" s="1"/>
  <c r="AC42" i="12"/>
  <c r="AC39" i="12" s="1"/>
  <c r="Z42" i="12"/>
  <c r="AA42" i="12"/>
  <c r="AA39" i="12" s="1"/>
  <c r="AG31" i="12"/>
  <c r="AG26" i="12"/>
  <c r="AB30" i="12"/>
  <c r="AB28" i="12" s="1"/>
  <c r="AG30" i="12"/>
  <c r="AG28" i="12" s="1"/>
  <c r="Z30" i="12"/>
  <c r="AF23" i="12"/>
  <c r="AC30" i="12"/>
  <c r="AC28" i="12" s="1"/>
  <c r="AC27" i="12" s="1"/>
  <c r="AH30" i="12"/>
  <c r="AH28" i="12" s="1"/>
  <c r="AH27" i="12" s="1"/>
  <c r="AF30" i="12"/>
  <c r="AF28" i="12" s="1"/>
  <c r="AF27" i="12" s="1"/>
  <c r="AE30" i="12"/>
  <c r="AA30" i="12"/>
  <c r="AA28" i="12" s="1"/>
  <c r="AA27" i="12" s="1"/>
  <c r="AA23" i="12"/>
  <c r="AG23" i="12"/>
  <c r="AH23" i="12"/>
  <c r="AC23" i="12"/>
  <c r="AE23" i="12"/>
  <c r="AB23" i="12"/>
  <c r="AH26" i="12"/>
  <c r="AH25" i="12" s="1"/>
  <c r="Z23" i="12"/>
  <c r="AC26" i="12"/>
  <c r="AC25" i="12" s="1"/>
  <c r="Y32" i="12" l="1"/>
  <c r="Y31" i="12" s="1"/>
  <c r="AD32" i="12"/>
  <c r="AD31" i="12" s="1"/>
  <c r="AC47" i="12"/>
  <c r="AC46" i="12" s="1"/>
  <c r="AF22" i="12"/>
  <c r="AF20" i="12" s="1"/>
  <c r="AF19" i="12" s="1"/>
  <c r="AF18" i="12" s="1"/>
  <c r="AF9" i="12" s="1"/>
  <c r="AH22" i="12"/>
  <c r="AH20" i="12" s="1"/>
  <c r="AH19" i="12" s="1"/>
  <c r="Y23" i="12"/>
  <c r="AE22" i="12"/>
  <c r="AG37" i="12"/>
  <c r="AE37" i="12"/>
  <c r="AD38" i="12"/>
  <c r="AD37" i="12" s="1"/>
  <c r="Z25" i="12"/>
  <c r="Y26" i="12"/>
  <c r="Y25" i="12" s="1"/>
  <c r="Z28" i="12"/>
  <c r="Z27" i="12" s="1"/>
  <c r="Y27" i="12" s="1"/>
  <c r="Y30" i="12"/>
  <c r="Y28" i="12" s="1"/>
  <c r="AE28" i="12"/>
  <c r="AE27" i="12" s="1"/>
  <c r="AD27" i="12" s="1"/>
  <c r="AD30" i="12"/>
  <c r="AD28" i="12" s="1"/>
  <c r="Z37" i="12"/>
  <c r="Y38" i="12"/>
  <c r="Y37" i="12" s="1"/>
  <c r="AD42" i="12"/>
  <c r="AD39" i="12" s="1"/>
  <c r="AE39" i="12"/>
  <c r="Y42" i="12"/>
  <c r="Y39" i="12" s="1"/>
  <c r="Z39" i="12"/>
  <c r="AG25" i="12"/>
  <c r="AD26" i="12"/>
  <c r="AD25" i="12" s="1"/>
  <c r="AD23" i="12"/>
  <c r="AD47" i="12"/>
  <c r="AD46" i="12" s="1"/>
  <c r="AH46" i="12"/>
  <c r="AD36" i="12"/>
  <c r="AD34" i="12" s="1"/>
  <c r="AG34" i="12"/>
  <c r="Y36" i="12"/>
  <c r="Y34" i="12" s="1"/>
  <c r="AB34" i="12"/>
  <c r="Y47" i="12" l="1"/>
  <c r="Y46" i="12" s="1"/>
  <c r="AH18" i="12"/>
  <c r="AH9" i="12" s="1"/>
  <c r="AE20" i="12"/>
  <c r="AE19" i="12" s="1"/>
  <c r="AE18" i="12" s="1"/>
  <c r="AE9" i="12" s="1"/>
  <c r="B38" i="12" l="1"/>
  <c r="B44" i="12"/>
  <c r="N25" i="12"/>
  <c r="P25" i="12"/>
  <c r="Q25" i="12"/>
  <c r="S25" i="12"/>
  <c r="L30" i="12"/>
  <c r="N31" i="12"/>
  <c r="P31" i="12"/>
  <c r="Q31" i="12"/>
  <c r="S31" i="12"/>
  <c r="N34" i="12"/>
  <c r="P34" i="12"/>
  <c r="Q34" i="12"/>
  <c r="S34" i="12"/>
  <c r="B35" i="12"/>
  <c r="N37" i="12"/>
  <c r="P37" i="12"/>
  <c r="Q37" i="12"/>
  <c r="S37" i="12"/>
  <c r="O40" i="12" l="1"/>
  <c r="X47" i="12" l="1"/>
  <c r="M284" i="11" l="1"/>
  <c r="O284" i="11"/>
  <c r="P44" i="12" s="1"/>
  <c r="P284" i="11"/>
  <c r="Q44" i="12" s="1"/>
  <c r="Q284" i="11"/>
  <c r="R44" i="12" s="1"/>
  <c r="R284" i="11"/>
  <c r="S44" i="12" s="1"/>
  <c r="T284" i="11"/>
  <c r="U284" i="11"/>
  <c r="V44" i="12" s="1"/>
  <c r="V284" i="11"/>
  <c r="W44" i="12" s="1"/>
  <c r="W284" i="11"/>
  <c r="X44" i="12" s="1"/>
  <c r="AH284" i="11"/>
  <c r="M272" i="11"/>
  <c r="M188" i="11" s="1"/>
  <c r="M19" i="11" s="1"/>
  <c r="O272" i="11"/>
  <c r="O188" i="11" s="1"/>
  <c r="O19" i="11" s="1"/>
  <c r="P272" i="11"/>
  <c r="Q272" i="11"/>
  <c r="R272" i="11"/>
  <c r="T272" i="11"/>
  <c r="U272" i="11"/>
  <c r="U188" i="11" s="1"/>
  <c r="U19" i="11" s="1"/>
  <c r="V272" i="11"/>
  <c r="V188" i="11" s="1"/>
  <c r="V19" i="11" s="1"/>
  <c r="W272" i="11"/>
  <c r="M45" i="12"/>
  <c r="L45" i="12"/>
  <c r="L284" i="11"/>
  <c r="K284" i="11"/>
  <c r="L44" i="12" s="1"/>
  <c r="L272" i="11"/>
  <c r="L188" i="11" s="1"/>
  <c r="L19" i="11" s="1"/>
  <c r="K272" i="11"/>
  <c r="R188" i="11" l="1"/>
  <c r="R19" i="11" s="1"/>
  <c r="T188" i="11"/>
  <c r="T19" i="11" s="1"/>
  <c r="Q188" i="11"/>
  <c r="Q19" i="11" s="1"/>
  <c r="K188" i="11"/>
  <c r="K19" i="11" s="1"/>
  <c r="W188" i="11"/>
  <c r="W19" i="11" s="1"/>
  <c r="P188" i="11"/>
  <c r="P19" i="11" s="1"/>
  <c r="U42" i="12"/>
  <c r="S47" i="12"/>
  <c r="L42" i="12"/>
  <c r="R42" i="12"/>
  <c r="R39" i="12" s="1"/>
  <c r="Q42" i="12"/>
  <c r="X42" i="12"/>
  <c r="X39" i="12" s="1"/>
  <c r="W42" i="12"/>
  <c r="W39" i="12" s="1"/>
  <c r="P42" i="12"/>
  <c r="V42" i="12"/>
  <c r="V39" i="12" s="1"/>
  <c r="O44" i="12"/>
  <c r="S42" i="12"/>
  <c r="S39" i="12" s="1"/>
  <c r="U44" i="12"/>
  <c r="Q45" i="12"/>
  <c r="O45" i="12" s="1"/>
  <c r="S284" i="11"/>
  <c r="N272" i="11"/>
  <c r="N284" i="11"/>
  <c r="S272" i="11"/>
  <c r="W38" i="12"/>
  <c r="AH179" i="11"/>
  <c r="V38" i="12" l="1"/>
  <c r="V37" i="12" s="1"/>
  <c r="U38" i="12"/>
  <c r="X38" i="12"/>
  <c r="X37" i="12" s="1"/>
  <c r="T42" i="12"/>
  <c r="Q39" i="12"/>
  <c r="O42" i="12"/>
  <c r="P39" i="12"/>
  <c r="T44" i="12"/>
  <c r="U39" i="12"/>
  <c r="S190" i="11"/>
  <c r="S188" i="11" s="1"/>
  <c r="S19" i="11" s="1"/>
  <c r="N190" i="11"/>
  <c r="N188" i="11" s="1"/>
  <c r="N19" i="11" s="1"/>
  <c r="M38" i="12"/>
  <c r="M37" i="12" s="1"/>
  <c r="L38" i="12"/>
  <c r="L37" i="12" s="1"/>
  <c r="R38" i="12"/>
  <c r="T38" i="12" l="1"/>
  <c r="T37" i="12" s="1"/>
  <c r="U37" i="12"/>
  <c r="W37" i="12"/>
  <c r="O41" i="12"/>
  <c r="O39" i="12" s="1"/>
  <c r="R37" i="12"/>
  <c r="O38" i="12"/>
  <c r="O37" i="12" s="1"/>
  <c r="M36" i="12"/>
  <c r="R36" i="12"/>
  <c r="O36" i="12" s="1"/>
  <c r="U36" i="12"/>
  <c r="V36" i="12"/>
  <c r="V34" i="12" s="1"/>
  <c r="W36" i="12"/>
  <c r="X36" i="12"/>
  <c r="X34" i="12" s="1"/>
  <c r="AH110" i="11"/>
  <c r="L36" i="12"/>
  <c r="U34" i="12" l="1"/>
  <c r="T36" i="12"/>
  <c r="M33" i="12"/>
  <c r="R33" i="12"/>
  <c r="O33" i="12" s="1"/>
  <c r="X33" i="12"/>
  <c r="L33" i="12"/>
  <c r="V33" i="12" l="1"/>
  <c r="U33" i="12"/>
  <c r="W33" i="12"/>
  <c r="L35" i="12"/>
  <c r="L34" i="12" s="1"/>
  <c r="R35" i="12"/>
  <c r="O35" i="12" s="1"/>
  <c r="M35" i="12"/>
  <c r="M34" i="12" s="1"/>
  <c r="AH90" i="11"/>
  <c r="AH87" i="11" s="1"/>
  <c r="T33" i="12" l="1"/>
  <c r="T34" i="12"/>
  <c r="W34" i="12"/>
  <c r="R34" i="12"/>
  <c r="O34" i="12"/>
  <c r="AH65" i="11"/>
  <c r="AH61" i="11"/>
  <c r="R26" i="12" l="1"/>
  <c r="R27" i="12"/>
  <c r="L27" i="12"/>
  <c r="M24" i="12" l="1"/>
  <c r="W24" i="12"/>
  <c r="R23" i="12"/>
  <c r="R25" i="12"/>
  <c r="O26" i="12"/>
  <c r="L26" i="12"/>
  <c r="L25" i="12" s="1"/>
  <c r="M26" i="12"/>
  <c r="M25" i="12" s="1"/>
  <c r="L24" i="12"/>
  <c r="X23" i="12"/>
  <c r="W23" i="12"/>
  <c r="V23" i="12"/>
  <c r="U23" i="12"/>
  <c r="L23" i="12"/>
  <c r="W22" i="12" l="1"/>
  <c r="T23" i="12"/>
  <c r="AG24" i="12" l="1"/>
  <c r="AD24" i="12" l="1"/>
  <c r="AD22" i="12" s="1"/>
  <c r="AD20" i="12" s="1"/>
  <c r="AD19" i="12" s="1"/>
  <c r="AD18" i="12" s="1"/>
  <c r="AD9" i="12" s="1"/>
  <c r="AG22" i="12"/>
  <c r="AG20" i="12" s="1"/>
  <c r="AG19" i="12" s="1"/>
  <c r="AG18" i="12" s="1"/>
  <c r="AG9" i="12" s="1"/>
  <c r="V26" i="12" l="1"/>
  <c r="V25" i="12" s="1"/>
  <c r="U26" i="12"/>
  <c r="U25" i="12" s="1"/>
  <c r="R24" i="12"/>
  <c r="R22" i="12" s="1"/>
  <c r="Q24" i="12" l="1"/>
  <c r="L41" i="12" l="1"/>
  <c r="L39" i="12" s="1"/>
  <c r="N46" i="12"/>
  <c r="P46" i="12"/>
  <c r="Q46" i="12"/>
  <c r="R46" i="12"/>
  <c r="U46" i="12"/>
  <c r="V46" i="12"/>
  <c r="W46" i="12"/>
  <c r="AC24" i="12" l="1"/>
  <c r="AC22" i="12" s="1"/>
  <c r="AC20" i="12" s="1"/>
  <c r="AC19" i="12" s="1"/>
  <c r="AC18" i="12" s="1"/>
  <c r="AC9" i="12" s="1"/>
  <c r="X24" i="12"/>
  <c r="AA24" i="12"/>
  <c r="AA22" i="12" s="1"/>
  <c r="AA20" i="12" s="1"/>
  <c r="AA19" i="12" s="1"/>
  <c r="AA18" i="12" s="1"/>
  <c r="AA9" i="12" s="1"/>
  <c r="V24" i="12"/>
  <c r="U24" i="12"/>
  <c r="Z24" i="12"/>
  <c r="Z22" i="12" l="1"/>
  <c r="Z20" i="12" s="1"/>
  <c r="Z19" i="12" s="1"/>
  <c r="Z18" i="12" s="1"/>
  <c r="Z9" i="12" s="1"/>
  <c r="Y24" i="12"/>
  <c r="U28" i="12"/>
  <c r="W26" i="12"/>
  <c r="X46" i="12"/>
  <c r="W25" i="12" l="1"/>
  <c r="AB22" i="12"/>
  <c r="AB20" i="12" s="1"/>
  <c r="AB19" i="12" s="1"/>
  <c r="AB18" i="12" s="1"/>
  <c r="AB9" i="12" s="1"/>
  <c r="T47" i="12"/>
  <c r="T46" i="12" s="1"/>
  <c r="M47" i="12"/>
  <c r="M46" i="12" s="1"/>
  <c r="L47" i="12"/>
  <c r="L46" i="12" s="1"/>
  <c r="M41" i="12"/>
  <c r="M39" i="12" s="1"/>
  <c r="O30" i="12"/>
  <c r="M30" i="12"/>
  <c r="X28" i="12"/>
  <c r="X27" i="12" s="1"/>
  <c r="V28" i="12"/>
  <c r="V27" i="12" s="1"/>
  <c r="U27" i="12"/>
  <c r="S27" i="12"/>
  <c r="O27" i="12" s="1"/>
  <c r="Q28" i="12"/>
  <c r="P28" i="12"/>
  <c r="N28" i="12"/>
  <c r="N27" i="12" s="1"/>
  <c r="O25" i="12"/>
  <c r="O24" i="12"/>
  <c r="O23" i="12"/>
  <c r="X22" i="12"/>
  <c r="U22" i="12"/>
  <c r="S22" i="12"/>
  <c r="Q22" i="12"/>
  <c r="P22" i="12"/>
  <c r="N22" i="12"/>
  <c r="S13" i="12"/>
  <c r="S10" i="12" s="1"/>
  <c r="R13" i="12"/>
  <c r="R10" i="12" s="1"/>
  <c r="Q13" i="12"/>
  <c r="Q10" i="12" s="1"/>
  <c r="P13" i="12"/>
  <c r="P10" i="12" s="1"/>
  <c r="N13" i="12"/>
  <c r="N10" i="12" s="1"/>
  <c r="M13" i="12"/>
  <c r="L13" i="12"/>
  <c r="L10" i="12" s="1"/>
  <c r="W32" i="12"/>
  <c r="Y22" i="12" l="1"/>
  <c r="Y20" i="12" s="1"/>
  <c r="Y19" i="12" s="1"/>
  <c r="Y18" i="12" s="1"/>
  <c r="Y9" i="12" s="1"/>
  <c r="U32" i="12"/>
  <c r="U31" i="12" s="1"/>
  <c r="V32" i="12"/>
  <c r="V31" i="12" s="1"/>
  <c r="X32" i="12"/>
  <c r="L32" i="12"/>
  <c r="L31" i="12" s="1"/>
  <c r="M32" i="12"/>
  <c r="M31" i="12" s="1"/>
  <c r="W31" i="12"/>
  <c r="P20" i="12"/>
  <c r="P19" i="12" s="1"/>
  <c r="P18" i="12" s="1"/>
  <c r="R32" i="12"/>
  <c r="S20" i="12"/>
  <c r="S19" i="12" s="1"/>
  <c r="U20" i="12"/>
  <c r="Q20" i="12"/>
  <c r="Q19" i="12" s="1"/>
  <c r="Q18" i="12" s="1"/>
  <c r="N20" i="12"/>
  <c r="M28" i="12"/>
  <c r="O22" i="12"/>
  <c r="O47" i="12"/>
  <c r="O46" i="12" s="1"/>
  <c r="S46" i="12"/>
  <c r="O10" i="12"/>
  <c r="X26" i="12"/>
  <c r="W27" i="12"/>
  <c r="T27" i="12" s="1"/>
  <c r="M23" i="12"/>
  <c r="M22" i="12" s="1"/>
  <c r="W13" i="12"/>
  <c r="W10" i="12" s="1"/>
  <c r="V13" i="12"/>
  <c r="V10" i="12" s="1"/>
  <c r="X13" i="12"/>
  <c r="X10" i="12" s="1"/>
  <c r="L28" i="12"/>
  <c r="O28" i="12"/>
  <c r="R28" i="12"/>
  <c r="U19" i="12" l="1"/>
  <c r="U18" i="12" s="1"/>
  <c r="X25" i="12"/>
  <c r="X20" i="12" s="1"/>
  <c r="T26" i="12"/>
  <c r="T25" i="12" s="1"/>
  <c r="T32" i="12"/>
  <c r="T31" i="12" s="1"/>
  <c r="X31" i="12"/>
  <c r="X19" i="12" s="1"/>
  <c r="S18" i="12"/>
  <c r="S9" i="12" s="1"/>
  <c r="N19" i="12"/>
  <c r="O32" i="12"/>
  <c r="O31" i="12" s="1"/>
  <c r="R31" i="12"/>
  <c r="V22" i="12"/>
  <c r="V20" i="12" s="1"/>
  <c r="V19" i="12" s="1"/>
  <c r="S9" i="11"/>
  <c r="L22" i="12"/>
  <c r="L20" i="12" s="1"/>
  <c r="R20" i="12"/>
  <c r="M20" i="12"/>
  <c r="O20" i="12"/>
  <c r="Q9" i="12"/>
  <c r="V18" i="12" l="1"/>
  <c r="V9" i="12" s="1"/>
  <c r="X18" i="12"/>
  <c r="X9" i="12" s="1"/>
  <c r="N18" i="12"/>
  <c r="N9" i="12" s="1"/>
  <c r="R19" i="12"/>
  <c r="R18" i="12" s="1"/>
  <c r="R9" i="12" s="1"/>
  <c r="O19" i="12"/>
  <c r="O18" i="12" s="1"/>
  <c r="L19" i="12"/>
  <c r="M19" i="12"/>
  <c r="T24" i="12"/>
  <c r="T22" i="12" s="1"/>
  <c r="O9" i="11"/>
  <c r="R9" i="11"/>
  <c r="L9" i="11"/>
  <c r="M9" i="11"/>
  <c r="W9" i="11"/>
  <c r="T9" i="11"/>
  <c r="Q9" i="11"/>
  <c r="U9" i="11"/>
  <c r="T28" i="12"/>
  <c r="W28" i="12"/>
  <c r="K9" i="11"/>
  <c r="P9" i="12"/>
  <c r="P9" i="11"/>
  <c r="N9" i="11"/>
  <c r="L18" i="12" l="1"/>
  <c r="L9" i="12" s="1"/>
  <c r="M18" i="12"/>
  <c r="M9" i="12" s="1"/>
  <c r="O9" i="12"/>
  <c r="V9" i="11"/>
  <c r="T20" i="12"/>
  <c r="T19" i="12" l="1"/>
  <c r="T18" i="12" s="1"/>
  <c r="W20" i="12"/>
  <c r="W19" i="12" s="1"/>
  <c r="W18" i="12" s="1"/>
  <c r="W9" i="12" l="1"/>
  <c r="U15" i="12" l="1"/>
  <c r="T14" i="12" l="1"/>
  <c r="T13" i="12" s="1"/>
  <c r="T10" i="12" s="1"/>
  <c r="T9" i="12" s="1"/>
  <c r="U14" i="12"/>
  <c r="U13" i="12" s="1"/>
  <c r="U10" i="12" s="1"/>
  <c r="U9" i="12" s="1"/>
</calcChain>
</file>

<file path=xl/comments1.xml><?xml version="1.0" encoding="utf-8"?>
<comments xmlns="http://schemas.openxmlformats.org/spreadsheetml/2006/main">
  <authors>
    <author>Author</author>
  </authors>
  <commentList>
    <comment ref="G317" authorId="0">
      <text>
        <r>
          <rPr>
            <b/>
            <sz val="9"/>
            <color indexed="81"/>
            <rFont val="Tahoma"/>
            <family val="2"/>
          </rPr>
          <t xml:space="preserve">Author:
</t>
        </r>
      </text>
    </comment>
  </commentList>
</comments>
</file>

<file path=xl/sharedStrings.xml><?xml version="1.0" encoding="utf-8"?>
<sst xmlns="http://schemas.openxmlformats.org/spreadsheetml/2006/main" count="1843" uniqueCount="784">
  <si>
    <t>Dự án</t>
  </si>
  <si>
    <t>Chủ đầu tư</t>
  </si>
  <si>
    <t>Địa điểm mở tài khoản của dự án</t>
  </si>
  <si>
    <t>Mã số dự án đầu tư</t>
  </si>
  <si>
    <t>Mã ngành kinh tế</t>
  </si>
  <si>
    <t>Năng lực
 thiết kế</t>
  </si>
  <si>
    <t>Thời gian khởi công-hoàn thành</t>
  </si>
  <si>
    <t>Ghi chú</t>
  </si>
  <si>
    <t>Tổng cộng</t>
  </si>
  <si>
    <t>I</t>
  </si>
  <si>
    <t>II</t>
  </si>
  <si>
    <t>Trong đó:</t>
  </si>
  <si>
    <t>TỔNG CỘNG</t>
  </si>
  <si>
    <t xml:space="preserve">STT
</t>
  </si>
  <si>
    <t>QĐ đầu tư (điều chỉnh nếu có)</t>
  </si>
  <si>
    <t>Ngân sách tập trung</t>
  </si>
  <si>
    <t>Xổ số kiến thiết</t>
  </si>
  <si>
    <t>A</t>
  </si>
  <si>
    <t>TỈNH QUẢN LÝ</t>
  </si>
  <si>
    <t>CHUẨN BỊ ĐẦU TƯ</t>
  </si>
  <si>
    <t xml:space="preserve">     </t>
  </si>
  <si>
    <t>THỰC HIỆN DỰ ÁN</t>
  </si>
  <si>
    <t>B</t>
  </si>
  <si>
    <t>TỈNH HỖ TRỢ MỤC TIÊU</t>
  </si>
  <si>
    <t>1.1</t>
  </si>
  <si>
    <t>Tổng mức đầu tư</t>
  </si>
  <si>
    <t>Trong đó: Dự phòng phí</t>
  </si>
  <si>
    <t xml:space="preserve">Xây dựng nông thôn mới </t>
  </si>
  <si>
    <t>Vốn xã điểm xây dựng nông thôn mới (bao gồm trường chuẩn quốc gia)</t>
  </si>
  <si>
    <t>Quyết định chủ trương đầu tư</t>
  </si>
  <si>
    <t>Nguồn thu tiền sử dụng đất, thuê đất</t>
  </si>
  <si>
    <t>Tổng vốn</t>
  </si>
  <si>
    <t>Dự án …</t>
  </si>
  <si>
    <t>Giải ngân từ đầu năm đến hết tháng trước thời điểm báo cáo</t>
  </si>
  <si>
    <t>Nâng cấp, mở rộng đường từ Huyện đội - Ngã 3 Sọ - Đường huyện 3 - Đường huyện 4</t>
  </si>
  <si>
    <t>3019/QĐ-UBND
10/12/2020</t>
  </si>
  <si>
    <t>Dự án chuyển tiếp</t>
  </si>
  <si>
    <t>KHV đầu tư công trung hạn giai đoạn 2021-2025</t>
  </si>
  <si>
    <t>ĐVT: triệu đồng</t>
  </si>
  <si>
    <t>HUYỆN QUẢN LÝ</t>
  </si>
  <si>
    <t>Tổng 
cộng</t>
  </si>
  <si>
    <t>xã Thành Long</t>
  </si>
  <si>
    <t>Kho bạc huyện CT</t>
  </si>
  <si>
    <t>Đường Đ.73, đường Đ.31 (cặp xã), đường Cây Dầu, đường Đ.71 (T. Quan), đường NĐ.18-1 ấp Tua Hai, đường Trường THCS Đồng Khởi</t>
  </si>
  <si>
    <t>Đường Gò Cây Dền - Bình Minh ấp Tua Hai xã Đồng Khởi</t>
  </si>
  <si>
    <t>Đường Tà Đế ấp Tua Hai xã Đồng Khởi</t>
  </si>
  <si>
    <t>Đường đê bao ấp Cầy Xiêng xã Đồng Khởi</t>
  </si>
  <si>
    <t xml:space="preserve">Ban QLDA ĐTXD </t>
  </si>
  <si>
    <t>2022-2024</t>
  </si>
  <si>
    <t>7922603</t>
  </si>
  <si>
    <t>Tổng chiều dài: 3.641,78m. Đoạn từ Km0+00 -:- Km2+260 dài 2.260m mặt đường láng nhựa rộng 3,5m, lề đường 1,5m x 2bên; đoạn từ Km2+260 -:- Km3+641,78 dài 1.381,78m mặt đường sỏi đỏ rộng 4m</t>
  </si>
  <si>
    <t>Tổng chiều dài: 2.065,14m. Trong đó: Tuyến chính dài 1.742,37m, đoạn từ Km0+00 -:- Km1+240,02 dài 1.240,02m mặt đường láng nhựa rộng 3,5m, lề đường 1,5m x 2bên; đoạn từ Km1+240,02 -:- Km1+742,37 dài 502,35m mặt đường sỏi đỏ rộng 4m; tuyến nhánh dài 322,77m mặt đường sỏi đỏ rộng 5m</t>
  </si>
  <si>
    <t>KBNN huyện</t>
  </si>
  <si>
    <t>Trí Bình</t>
  </si>
  <si>
    <t>31/ QĐ-UBND ngày 14/01/2022</t>
  </si>
  <si>
    <t>Phát triển Thành phố/thị xã (chỉnh trang đô thị)</t>
  </si>
  <si>
    <t>Dự án khởi công mới</t>
  </si>
  <si>
    <t>Hỗ trợ khác</t>
  </si>
  <si>
    <t>III</t>
  </si>
  <si>
    <t>Đối ứng vốn hỗ trợ khác</t>
  </si>
  <si>
    <t>Đầu tư dự án từ nguồn ngân sách huyện 100%</t>
  </si>
  <si>
    <t>Ban QLDA ĐTXD</t>
  </si>
  <si>
    <t>Địa điểm 
xây dựng</t>
  </si>
  <si>
    <t>KBNN tỉnh</t>
  </si>
  <si>
    <t>1.2</t>
  </si>
  <si>
    <t>NGÂN SÁCH HUYỆN</t>
  </si>
  <si>
    <t>Thị trấn</t>
  </si>
  <si>
    <t>VỐN TRUNG THỰC HIỆN CTMTQG</t>
  </si>
  <si>
    <t>Vốn TW xây dựng NTM</t>
  </si>
  <si>
    <t>Thị trấn-Hảo Đước- An Cơ</t>
  </si>
  <si>
    <t>Phước Vinh</t>
  </si>
  <si>
    <t>Nâng cấp đường Huyện 21 - Lộ nam Dương</t>
  </si>
  <si>
    <t xml:space="preserve">470/QĐ-UBND 31/10/2022
</t>
  </si>
  <si>
    <t>Dài: 4.372,2m. Mặt đường láng nhựa rộng m; lề sỏi đỏ rộng 2x1,0m</t>
  </si>
  <si>
    <t xml:space="preserve">Đường Bến Rỗng Phèn, ấp Thanh An, xã An Bình </t>
  </si>
  <si>
    <t xml:space="preserve">Đường An Bình 6, ấp Thanh An, xã An Bình </t>
  </si>
  <si>
    <t xml:space="preserve">Đường An Bình 8, ấp Thanh An, xã An Bình </t>
  </si>
  <si>
    <t xml:space="preserve">Hẻm 1, 2, 6 ấp Thanh Bình, xã An Bình </t>
  </si>
  <si>
    <t xml:space="preserve">Hẻm Số 9, 22, 25, 29 ấp Thanh An, xã An Bình  </t>
  </si>
  <si>
    <t xml:space="preserve"> xã An Bình</t>
  </si>
  <si>
    <t>2023-2025</t>
  </si>
  <si>
    <t>509/QĐ-UBND ngày 24/11/2022</t>
  </si>
  <si>
    <t>508/QĐ-UBND ngày 24/11/2022</t>
  </si>
  <si>
    <t>501/QĐ-UBND ngày 23/11/2022</t>
  </si>
  <si>
    <t>522/QĐ-UBND ngày 01/12/2022</t>
  </si>
  <si>
    <t>524/QĐ-UBND ngày 01/12/2022</t>
  </si>
  <si>
    <t>Dài 603,81m, mặt đường láng nhựa rộng 3,5 m; lề sỏi đỏ rộng 0,75mx2 = 1,5m</t>
  </si>
  <si>
    <t xml:space="preserve">Dài 541,09m, mặt đường láng nhựa rộng 3,5 m; lề sỏi đỏ rộng 0,75mx2 = 1,5m) </t>
  </si>
  <si>
    <t>Dài 974,75m, mặt đường BTXM rộng 3,0m; lề đường 2x0,5=1,0m</t>
  </si>
  <si>
    <t>Dài 604,32m, mặt đường  BTXM rộng 4m</t>
  </si>
  <si>
    <t>Dài 1.706,33m mặt đường lánh nhựa rộng 3,5m, lề sỏi 2x0,75m) + mặt BTXM rộng 4,0m</t>
  </si>
  <si>
    <t>Giao thông</t>
  </si>
  <si>
    <t>Giáo dục</t>
  </si>
  <si>
    <t>xã Đồng Khởi</t>
  </si>
  <si>
    <t xml:space="preserve">Trí Bình </t>
  </si>
  <si>
    <t>633/QĐ-UBND ngày 14/10/2021</t>
  </si>
  <si>
    <t>635/QĐ-UBND ngày 14/10/2021</t>
  </si>
  <si>
    <t xml:space="preserve">Nâng cấp, cải tạo Trường Mẫu giáo Trí Bình </t>
  </si>
  <si>
    <t>Trường mẫu giáo thành long ( G đ 2) (Điểm Bến Sỏi, Điểm Thành Tây)</t>
  </si>
  <si>
    <t>xã Long Vĩnh</t>
  </si>
  <si>
    <t xml:space="preserve"> xã Thanh Điền</t>
  </si>
  <si>
    <t>xã Hòa Thạnh</t>
  </si>
  <si>
    <t>xã Hảo Đước</t>
  </si>
  <si>
    <t xml:space="preserve"> Đường An Bình 12-An Bình 11, ấp An Điền, xã An Bình </t>
  </si>
  <si>
    <t>Đường An Bình 5, hẻm 10 ấp An Hòa, xã An Bình</t>
  </si>
  <si>
    <t>Đường Bến Cây Dừa, ấp Thanh Bình, xã An Bình</t>
  </si>
  <si>
    <t xml:space="preserve">Đường An Bình 4, ấp Thanh Bình-An Hòa , xã An Bình </t>
  </si>
  <si>
    <t xml:space="preserve">Đường Sẩm Nỗi 2, ấp Thanh Bình, xã An Bình </t>
  </si>
  <si>
    <t>Dài 1.772,65m mặt đường láng nhựa rộng 3,5m, lề sỏi rộng 2x0,75m</t>
  </si>
  <si>
    <t>Dài 892,47m, mặt đường lánh nhựa rộng 3,5m, lề sỏi 2x0,75m) + mặt BTXM rộng 3,0m, lề BTXM rộng 2x 0,5m</t>
  </si>
  <si>
    <t xml:space="preserve">Dài 1.082,42m Mặt đường láng nhựa rộng 3,5m, lề sỏi rộng 2x0,75m </t>
  </si>
  <si>
    <t>Dài 1.297,65m, mặt đường láng nhựa rộng 3,5m, lề sỏi rộng 2x1,5m</t>
  </si>
  <si>
    <t>Dài 2.067,33m, mặt đường láng nhựa rộng 3,5m, lề sỏi đỏ rộng 2x1,25m</t>
  </si>
  <si>
    <t>QĐ số 542/QĐ-UBND, ngày 07/12/2022</t>
  </si>
  <si>
    <t>QĐ số 541/QĐ-UBND, ngày 07/12/2022</t>
  </si>
  <si>
    <t>QĐ số 543/QĐ-UBND, ngày 07/12/2022</t>
  </si>
  <si>
    <t>QĐ số 544/QĐ-UBND, ngày 07/12/2022</t>
  </si>
  <si>
    <t>QĐ số 23/QĐ-UBND, ngày 18/01/2023</t>
  </si>
  <si>
    <t>Đường tổ 11 - Tập đoàn 3, xã Hảo Đước</t>
  </si>
  <si>
    <t>Đường Cánh đồng mẫu lớn ấp Trường, xã Hảo Đước</t>
  </si>
  <si>
    <t xml:space="preserve">Tổng chiều dài: 3.494,47m, mặt đường láng nhựa rộng 3,5m, lề sỏi rộng 2x 0,75m và mặt đường sỏi đỏ rộng 5,0m </t>
  </si>
  <si>
    <t>Tổng chiều dài: 7.304,54m (gồm 26 đường) ,mặt đường đá 0x4 rộng 4,0m)</t>
  </si>
  <si>
    <t>Tổng chiều dài: 1.913,5m - mặt đường sỏi đỏ rộng 5m, gồm 2 tuyến (tuyến 1 dài 1.480m; tuyến 2 dài 433,5m</t>
  </si>
  <si>
    <t>QĐ số 22/QĐ-UBND, ngày 18/01/2023</t>
  </si>
  <si>
    <t>QĐ số 24/QĐ-UBND, ngày 18/01/2023</t>
  </si>
  <si>
    <t>QĐ số 611/QĐ-UBND, ngày 30/12/2022</t>
  </si>
  <si>
    <t xml:space="preserve">Hỗ trợ xây dựng xã Nông thôn mới nâng cao xã </t>
  </si>
  <si>
    <t>Chi ủy thác qua ngân hàng chính sách</t>
  </si>
  <si>
    <t>Nâng cấp, mở rộng đường Thanh Điền 12 (nhánh 1+2)</t>
  </si>
  <si>
    <t>Thanh Điền</t>
  </si>
  <si>
    <t>xã An Bình</t>
  </si>
  <si>
    <t>Y tế ( 01 dự án)</t>
  </si>
  <si>
    <t>Nâng cấp, cải tạo</t>
  </si>
  <si>
    <t>Ban QLDA</t>
  </si>
  <si>
    <t>Nâng cấp đường huyện 10</t>
  </si>
  <si>
    <t>Xây dựng trụ sở làm việc công an xã Hòa Hội huyện Châu Thành</t>
  </si>
  <si>
    <t>Xây dựng trụ sở làm việc công an xã Ninh Điền huyện Châu Thành</t>
  </si>
  <si>
    <t>Xây dựng trụ sở làm việc công an xã Hòa Thạnh huyện Châu Thành</t>
  </si>
  <si>
    <t>Xây dựng trụ sở làm việc công an xã Trí Bình huyện Châu Thành</t>
  </si>
  <si>
    <t>số 103/QĐ-UBND ngày 09/03/2023</t>
  </si>
  <si>
    <t>số 104/QĐ-UBND ngày 09/03/2023</t>
  </si>
  <si>
    <t>số 583/QĐ-UBND ngày 30/12/2022</t>
  </si>
  <si>
    <t>số 537/QĐ-UBND ngày 06/12/2022</t>
  </si>
  <si>
    <t>Phòng làm việc, phòng họp, phòng tiếp dân, kho tạm giữ tang vật vi phạm hành chính, phòng ở CBCS, nhà ăn, nhà xe, phòng tạm giữ hành chính</t>
  </si>
  <si>
    <t>Xây mới khối nhà làm việc 01 trệt 01 lầu. Xây mới nhà xe 02 bánh; cột cờ. Cải tạo nhà nghỉ cán bộ chiến sĩ. Hệ thống điện nước; hạ tầng kỹ thuật.</t>
  </si>
  <si>
    <t>Đối ứng xây dựng xã nông thôn mới</t>
  </si>
  <si>
    <t xml:space="preserve">xã Hòa Hội </t>
  </si>
  <si>
    <t>Quy mô: XD Khối làm việc (1 trệt): các phòng làm việc, phòng nghỉ, phòng trực, tạm giữ, tiếp dân, kho, vệ sinh. Nhà để xe CB và nhà để xe tạm giữ.</t>
  </si>
  <si>
    <t xml:space="preserve"> xã Ninh Điền </t>
  </si>
  <si>
    <t>Xây dựng trụ sở làm việc công an xã Đồng Khởi  huyện Châu Thành</t>
  </si>
  <si>
    <t>số 560/QĐ-UBND ngày 20/12/2022</t>
  </si>
  <si>
    <t>Phòng làm việc, phòng họp, phòng tiếp dân, kho tạm giữ tang vật, phòng ở CBCS, nhà ăn, nhà xe, phòng tạm giữ hành chính</t>
  </si>
  <si>
    <t>Hỗ trợ Đề án xây dựng trụ sở làm việc, trang thiết bị, phương tiện phục vụ công tác cho Công an xã trên địa bàn tỉnh Tây Ninh, giai đoạn 2021-2025</t>
  </si>
  <si>
    <t>2023 - 2025</t>
  </si>
  <si>
    <t xml:space="preserve">xã Đồng Khởi </t>
  </si>
  <si>
    <t>xã Trí bỉnh</t>
  </si>
  <si>
    <t>1.3</t>
  </si>
  <si>
    <t>Hỗ trợ xây dựng xã Nông thôn mới kiểu mẫu</t>
  </si>
  <si>
    <t>Đường tổ 1, 2, 3, 4, 5, 6, 7, 10, 15,16,17, xã Hảo Đước</t>
  </si>
  <si>
    <t>632/QĐ-UBND ngày 14/10/2021</t>
  </si>
  <si>
    <t>419/QĐ-UBND ngày 27/10/2023</t>
  </si>
  <si>
    <t xml:space="preserve">Tổng chiều dài: 1.875m.  mặt đường BTXM rộng 4m. </t>
  </si>
  <si>
    <t>Thành Long</t>
  </si>
  <si>
    <t xml:space="preserve">Điểm Thành Tây: Xây mới 02 khối lớp học trệt 06 phòng;Cải tạo 02 phòng học trệt thành nhà ăn + nhà bếp; Xây mới nhà xe, sân nền – thoát nước, nhà bảo vệ.
Điểm Bến Sỏi: Xây mới khối nhà bếp chức năng; Cải tạo 02 phòng học lầu;Xây mới nhà xe, sân nền – thoát nước, nhà bảo vệ.
</t>
  </si>
  <si>
    <t xml:space="preserve">*Điểm chính : xây mới phòng chức năng, nhà bảo vệ, sân nền; Hàng rào mặt chính; Trang thiết bị các phòng xây mới; Hệ thống phòng cháy, chữa cháy.
*Điểm phụ : chung trường TH Phạm Tự Điểm
</t>
  </si>
  <si>
    <t>Kế hoạch năm 2024</t>
  </si>
  <si>
    <t>Đầu tư mới năm 2024</t>
  </si>
  <si>
    <t>1</t>
  </si>
  <si>
    <t>Đường tổ 5, 8, 9 ấp Long Đại, xã Long Vĩnh</t>
  </si>
  <si>
    <t>2</t>
  </si>
  <si>
    <t>Đường tổ 13, 4, 9 ấp Long Đại, xã Long Vĩnh</t>
  </si>
  <si>
    <t>3</t>
  </si>
  <si>
    <t>Đường liên ấp Long Phú - Long Đại, xã Long Vĩnh</t>
  </si>
  <si>
    <t>4</t>
  </si>
  <si>
    <t>Đường KDC tổ 6 đến tổ 11 ấp Long Phú, xã Long Vĩnh</t>
  </si>
  <si>
    <t>5</t>
  </si>
  <si>
    <t>Đường tổ 19, 20 ấp Long Châu, xã Long Vĩnh</t>
  </si>
  <si>
    <t>6</t>
  </si>
  <si>
    <t>Đường tổ 4, 5 ấp Long Phú, xã Long Vĩnh</t>
  </si>
  <si>
    <t>7</t>
  </si>
  <si>
    <t>Đường tổ 1, 2, 3 ấp Long Phú, xã Long Vĩnh</t>
  </si>
  <si>
    <t>8</t>
  </si>
  <si>
    <t>Đường tổ 12, 13, 14 ấp Long Chẩn và tổ 17, 18 ấp Long Châu, xã Long Vĩnh</t>
  </si>
  <si>
    <t>9</t>
  </si>
  <si>
    <t>Đường tổ 3 ấp Long Phú, xã Long Vĩnh</t>
  </si>
  <si>
    <t>10</t>
  </si>
  <si>
    <t>Đường tổ 5, 4, 9 ấp Long Châu và tổ 1, 2, 3 ấp Long Chẩn, xã Long Vĩnh</t>
  </si>
  <si>
    <t>11</t>
  </si>
  <si>
    <t>Đường tổ 5, 7, 8 ấp Long Chẩn, xã Long Vĩnh</t>
  </si>
  <si>
    <t>12</t>
  </si>
  <si>
    <t>Đường tổ 2 ấp Long Phú và tổ 1, 3 ấp Long Đại, xã Long Vĩnh</t>
  </si>
  <si>
    <t>13</t>
  </si>
  <si>
    <t>Đường tổ 4, 5 ấp Long Đại, xã Long Vĩnh</t>
  </si>
  <si>
    <t>14</t>
  </si>
  <si>
    <t>Đường tổ 5, 6, 7 ấp Long Phú và tổ 7, 9, 13 ấp Long Đại, xã Long Vĩnh</t>
  </si>
  <si>
    <t>15</t>
  </si>
  <si>
    <t>Đường liên tổ 11 ấp Long Phú - Long Đại và đường số 1, 2 tổ 11 ấp Long Đại, xã Long Vĩnh</t>
  </si>
  <si>
    <t>16</t>
  </si>
  <si>
    <t>Đường tổ 1, 6, 7, 8 ấp Long Châu, xã Long Vĩnh</t>
  </si>
  <si>
    <t>Đường tổ 7, 13 ấp Long Đại, xã Long Vĩnh</t>
  </si>
  <si>
    <t>Đường tổ 13, 15 ấp Long Châu, xã Long Vĩnh</t>
  </si>
  <si>
    <t>Đường tổ 1, 2 ấp Long Đại, xã Long Vĩnh</t>
  </si>
  <si>
    <t>Giáo dục ( 3 dự án )</t>
  </si>
  <si>
    <t>Trường tiểu học Giồng Nần</t>
  </si>
  <si>
    <t>Xây dựng trung tâm văn hóa  thể thao và học tập cộng đồng, xã Long Vĩnh.</t>
  </si>
  <si>
    <t>Xây dựng nhà văn hóa ấp Long Chẩn, xã Long Vĩnh.</t>
  </si>
  <si>
    <t>Xây dựng nhà văn hóa ấp Long Phú, xã Long Vĩnh.</t>
  </si>
  <si>
    <t>Nâng cấp, cải tạo Trạm Y tế  xã Long Vĩnh</t>
  </si>
  <si>
    <t>Chợ (01 dự án)</t>
  </si>
  <si>
    <t>Sửa chữa Chợ xã Long Vĩnh</t>
  </si>
  <si>
    <t>Xây dựng nông thôn mới nâng cao</t>
  </si>
  <si>
    <t xml:space="preserve">Dự án chuyển tiếp </t>
  </si>
  <si>
    <t>Hỗ trợ XD NTM kiểu mẫu</t>
  </si>
  <si>
    <t>xã Long
 Vĩnh</t>
  </si>
  <si>
    <t>8033923</t>
  </si>
  <si>
    <t>8017208</t>
  </si>
  <si>
    <t>8017210</t>
  </si>
  <si>
    <t>8017484</t>
  </si>
  <si>
    <t>8036509</t>
  </si>
  <si>
    <t>Dài 1,5 km láng nhựa, mặt 5,5m, nền 7,5m</t>
  </si>
  <si>
    <t>Dài 1,28 km láng nhựa, mặt 3,5m, nền 6,5m</t>
  </si>
  <si>
    <t>Tổng dài 3,37Km Gồm: Dài 2,73 km láng nhựa, mặt 5,5m, nền 7,5m;
0,16 km cấp phối đá dăm, mặt 4m;
0,49 km sỏi đỏ, mặt 5m</t>
  </si>
  <si>
    <t>Dài 1,09 km láng nhựa, mặt 3,5m, nền 6,5m</t>
  </si>
  <si>
    <t xml:space="preserve">Dài 2,95 km láng nhựa, mặt 3,5m, nền 6,5 
</t>
  </si>
  <si>
    <t>Dài 1,12 km láng nhựa, mặt 3,5m, nền 6,5m</t>
  </si>
  <si>
    <t>Dài 1,16 km láng nhựa, mặt 3,5m, nền 6,5m</t>
  </si>
  <si>
    <t>Tổng dài 3,15Km Gồm: Dài 1,96 km láng nhựa mặt 3,5m, nền 6,5m; 0,56 km cấp phối đá dăm, mặt 4m; 
0,63 km sỏi đỏ, mặt 6m</t>
  </si>
  <si>
    <t>Dài 0,99 km sỏi đỏ, mặt 5m</t>
  </si>
  <si>
    <t>Tổng dài 2,7Km Gồm: Dài 0,78 km láng nhựa, mặt 3,5m, nền 5m; 
1,11 km cấp phối đá dăm mặt 5m;
0,81 km sỏi đỏ, mặt 5m</t>
  </si>
  <si>
    <t>Tổng dài 1,17Km Gồm: Dài 0,31 km láng nhựa mặt 3,5m, nền 5m;
0,86 km sỏi đỏ, mặt 5m</t>
  </si>
  <si>
    <t>Dài 0,89 km sỏi đỏ, mặt 5m</t>
  </si>
  <si>
    <t>Dài 0,83 km sỏi đỏ, mặt 5m</t>
  </si>
  <si>
    <t>Dài 2,13 km sỏi đỏ, mặt 5m</t>
  </si>
  <si>
    <t>Dài 0,56 km sỏi đỏ, mặt 5m</t>
  </si>
  <si>
    <t>Tổng dài 2,56Km Gồm: Dài 0,16 km láng nhựa, mặt 3,5m, nền 5m;
0,42 km cấp phối đá dăm, mặt 5m;
1,98 km sỏi đỏ, mặt 5m</t>
  </si>
  <si>
    <t>Dài 0,87 km sỏi đỏ, mặt 5m</t>
  </si>
  <si>
    <t>Tổng dài 1,15Km Gồm: Dài 0,69 km sỏi đỏ, mặt 5m;
0,45 km cấp phối đá dăm, mặt 5m</t>
  </si>
  <si>
    <t>Dài 0,97 km sỏi đỏ, mặt 5m</t>
  </si>
  <si>
    <t>Xây mới 04 phòng học lầu, 07 phòng chức năng, cải tạo sân vườn + thiết bị</t>
  </si>
  <si>
    <t xml:space="preserve">Cải tạo hội trường 250 chỗ, thiết bị, sân nền, cải tạo hàng rào mặt trước, cải tạo 05 phòng chức , </t>
  </si>
  <si>
    <t>xây mới hội trường 100 chỗ và thiết bị,</t>
  </si>
  <si>
    <t>Dài : 2.620m (Gồm 2 nhánh )
Mặt đường BTN rộng 7,0m;lề đất 2x2,0m</t>
  </si>
  <si>
    <t>587/QĐ-UBND ngày 30/12/2022</t>
  </si>
  <si>
    <t>586/QĐ-UBND ngày 30/12/2022</t>
  </si>
  <si>
    <t>604/QĐ-UBND ngày 30/12/2022</t>
  </si>
  <si>
    <t>598/QĐ-UBND ngày 30/12/2022</t>
  </si>
  <si>
    <t>591/QĐ-UBND ngày 30/12/2022</t>
  </si>
  <si>
    <t>601/QĐ-UBND ngày 30/12/2022</t>
  </si>
  <si>
    <t>597/QĐ-UBND ngày 30/12/2022</t>
  </si>
  <si>
    <t>596/QĐ-UBND ngày 30/12/2022</t>
  </si>
  <si>
    <t>606/QĐ-UBND ngày 30/12/2022</t>
  </si>
  <si>
    <t>589/QĐ-UBND ngày 30/12/2022</t>
  </si>
  <si>
    <t>592/QĐ-UBND ngày 30/12/2022</t>
  </si>
  <si>
    <t>605/QĐ-UBND ngày 30/12/2022</t>
  </si>
  <si>
    <t>588/QĐ-UBND ngày 30/12/2022</t>
  </si>
  <si>
    <t>602/QĐ-UBND ngày 30/12/2022</t>
  </si>
  <si>
    <t>603/QĐ-UBND ngày 30/12/2022</t>
  </si>
  <si>
    <t>599/QĐ-UBND ngày 30/12/2022</t>
  </si>
  <si>
    <t>582/QĐ-UBND ngày 30/12/2022</t>
  </si>
  <si>
    <t>600/QĐ-UBND ngày 30/12/2022</t>
  </si>
  <si>
    <t>585/QĐ-UBND ngày 30/12/2022</t>
  </si>
  <si>
    <t>217/QĐ-UBND ngày 01/6/2023</t>
  </si>
  <si>
    <t>QĐ số 232/QĐ-UBND này 21/6/2023</t>
  </si>
  <si>
    <t>QĐ số 47/QĐ-UBND này 16/02/2023</t>
  </si>
  <si>
    <t>QĐ số 51/QĐ-UBND này 21/02/2023</t>
  </si>
  <si>
    <t>QĐ số 102/QĐ-UBND này 08/03/2023</t>
  </si>
  <si>
    <t>QĐ số 262/QĐ-UBND này 04/7/2023</t>
  </si>
  <si>
    <t>371/QĐ-UBND ngày 12/09/2023</t>
  </si>
  <si>
    <t>Văn hóa ( 1 dự án )</t>
  </si>
  <si>
    <t>Trường mẫu giáo Long Vĩnh</t>
  </si>
  <si>
    <t>xây mới dãy phòng chức năng (trệt), nhà bảo vệ, nhà xe, sân nền, PCCC, mương thoát nước, thiết bị</t>
  </si>
  <si>
    <t>433/QĐ-UBND ngày 13/1/2023</t>
  </si>
  <si>
    <t>Xây dựng chợ KP3 thị trấn Châu Thành</t>
  </si>
  <si>
    <t>Làm mới Đường Liên KP1, KP2</t>
  </si>
  <si>
    <t>Chiều dài tuyến 1.979m Mặt đường BTN C12.5 rộng 4m; Lề đường sỏi đỏ 0,5mx2 bên; rộng nền 5m. Hệ thống chiếu sáng Đèn năng lượng mặt trời tại Các giao lộ và đường cong</t>
  </si>
  <si>
    <t>Xây mới Cầu Hòa Bình</t>
  </si>
  <si>
    <t>xã Hòa Hội, xã Hòa Thạnh</t>
  </si>
  <si>
    <t>Hảo Đước - An Cơ</t>
  </si>
  <si>
    <t>Thanh Điền - An Bình</t>
  </si>
  <si>
    <t>2023-2026</t>
  </si>
  <si>
    <t>(2)</t>
  </si>
  <si>
    <t xml:space="preserve">Các dự án đầu tư mới năm 2024 </t>
  </si>
  <si>
    <t>Xây dựng trụ sở làm việc công an xã Long Vĩnh huyện Châu Thành</t>
  </si>
  <si>
    <t>Xây dựng trụ sở làm việc công an xã Thành Long huyện Châu Thành</t>
  </si>
  <si>
    <t>Xây dựng trụ sở làm việc công an xã Thái Bình huyện Châu Thành</t>
  </si>
  <si>
    <t>Xây dựng trụ sở làm việc công an xã An Bình huyện Châu Thành</t>
  </si>
  <si>
    <t>Xây dựng trụ sở làm việc công an xã An Cơ huyện Châu Thành</t>
  </si>
  <si>
    <t>QĐ số 517/QĐ-UBND ngày 28/11/2022</t>
  </si>
  <si>
    <t>QĐ số 579/QĐ-UBND ngày 30/12/2022</t>
  </si>
  <si>
    <t>QĐ số 523/QĐ-UBND ngày 01/12/2022</t>
  </si>
  <si>
    <t>QĐ số 212/QĐ-UBND ngày 18/05/2022</t>
  </si>
  <si>
    <t>QĐ số 140/QĐ-UBND ngày 28/03/2023</t>
  </si>
  <si>
    <t xml:space="preserve">xã Thái Bình </t>
  </si>
  <si>
    <t xml:space="preserve"> xã An Cơ</t>
  </si>
  <si>
    <t>diện tích sử dụng đất 2000m2, quy mô (1 trệt 1 lầu): Khối làm việc, cổng hàng rào, sân nền, nhà xe nhân viên, nhà xe khách, san lắp mặt bằng, trạm biến áp.</t>
  </si>
  <si>
    <t>diện tích sử dụng đất 1978m2, quy mô (1 tệt 1 lầu): Khối làm việc, cổng hàng rào, sân nền, nhà xe nhân viên, nhà xe khách, san lắp mặt bằng, trạm biến áp.</t>
  </si>
  <si>
    <t>diện tích sử dụng đất 1.022m2, quy mô: (1 trệt 1 lầu, móng cột ép) các phòng, nhà vệ sinh, phòng ở CBCS, bếp+nhà ăn, sảnh đón +hành lang, nhà xe.</t>
  </si>
  <si>
    <t>Diện tích sử dụng đất 1000m2.
Quy mô: Khối làm việc (1 trệt 1 lầu), nhà xe.</t>
  </si>
  <si>
    <t>diện tích sử dụng đất 1,865,74m2, quy mô: (trệt) nhà làm việc công an xã, phòng vật chứng, phòng tạm giữ, phòng tiếp dân, phòng thường trực, phòng hợp, kho, nhà vệ sinh, phòng ở CBCS, bếp+nhà ăn, sảnh đón +hành lang, cổng + hàng rào, sân nền,</t>
  </si>
  <si>
    <t>2022 - 2024</t>
  </si>
  <si>
    <t>Xây dựng trụ sở làm việc công an xã Thanh Điền  huyện Châu Thành</t>
  </si>
  <si>
    <t>Xã Thanh Điền</t>
  </si>
  <si>
    <t>Xây mới nhà làm việc, nhà tạm giữ tang vật, nhà xe, sân nền, hệ thống điện nước</t>
  </si>
  <si>
    <t>540/QĐ-UBND 29/12/2023</t>
  </si>
  <si>
    <t>(1)</t>
  </si>
  <si>
    <t>Các dự án chuyển tiếp sang năm 2024</t>
  </si>
  <si>
    <t>Trường TH Bình Phong</t>
  </si>
  <si>
    <t>Trường tiểu  thị trấn Châu Thành  A</t>
  </si>
  <si>
    <t>Trường trung học cơ sở Thị Trấn</t>
  </si>
  <si>
    <t>Trường THCS Võ Văn Truyện</t>
  </si>
  <si>
    <t>Nhà thi đấu đa năng Trường THCS An Bình</t>
  </si>
  <si>
    <t>Nhà thi đấu đa năng Trường TH Hòa Hội</t>
  </si>
  <si>
    <t>Nhà thi đấu đa năng Trường THCS Thái Bình</t>
  </si>
  <si>
    <t>Nhà thi đấu đa năng Trường TH Thanh Trung</t>
  </si>
  <si>
    <t>Thái Bình</t>
  </si>
  <si>
    <t>Xã An Bình</t>
  </si>
  <si>
    <t>Xã Hòa Hội</t>
  </si>
  <si>
    <t>Xã Thái Bình</t>
  </si>
  <si>
    <t>552/QĐ-UBND, ngày 29/12/2023</t>
  </si>
  <si>
    <t>553/QĐ-UBND, ngày 29/12/2023</t>
  </si>
  <si>
    <t>539/QĐ-UBND, ngày 29/12/2023</t>
  </si>
  <si>
    <t>529/QĐ-UBND, ngày 29/12/2023</t>
  </si>
  <si>
    <t>11/QĐ-UBND ngày 19/01/2024</t>
  </si>
  <si>
    <t>16/QĐ-UBND ngày 24/01/2024</t>
  </si>
  <si>
    <t>10/QĐ-UBND ngày 19/01/2024</t>
  </si>
  <si>
    <t>15/QĐ-UBND ngày 24/01/2024</t>
  </si>
  <si>
    <t>xây dựng 04 phòng học, mua sắm thiết bị</t>
  </si>
  <si>
    <t>Xây dựng Nhà thi đấu đa năng 288 m2</t>
  </si>
  <si>
    <t>Hỗ trợ xây dựng cơ sở vất chất giáo dục</t>
  </si>
  <si>
    <t>Đối ứng xã nông thôn mới</t>
  </si>
  <si>
    <t>Đường Xóm Ruộng 2 (Số 11, 12, 13, 24, 25), xã Trí Bình</t>
  </si>
  <si>
    <t>Các đường lô ấp Tua Hai (Đ.22, Đ.24, Đ.26, Đ.30, Đ.32, Đ.33, Đ.34, Đ.37, Đ.41, Đ.66)</t>
  </si>
  <si>
    <t>Đường Vườn Dầu - Đường tổ 20 (nhà Tư Minh) ấp Cầy Xiêng xã Đồng Khởi</t>
  </si>
  <si>
    <t xml:space="preserve">Hẻm số 4 ấp An Hòa, xã An Bình
</t>
  </si>
  <si>
    <t xml:space="preserve">Đường Hẻm Số 11, ấp An Điền, xã An Bình </t>
  </si>
  <si>
    <t>Đường liên ấp Cầy Xiêng - Giồng Tre xã Đồng Khởi</t>
  </si>
  <si>
    <t>Đường vào Tổ 8, ấp Thanh An, xã An Bình</t>
  </si>
  <si>
    <t>Đường Đồng Khởi 28 ấp Tua Hai xã Đồng Khởi</t>
  </si>
  <si>
    <t>Đường Xóm ruộng 1 (Số 7-TR15), xã Trí Bình.</t>
  </si>
  <si>
    <t>Đường NĐ.40-7 (3 Dũng) ấp Tua Hai xã Đồng Khởi</t>
  </si>
  <si>
    <t>Đường NĐ.15 (5 Định)-Đường TH Đồng Khởi ấp Tua Hai xã Đồng Khởi</t>
  </si>
  <si>
    <t>Đường tổ 4 ấp Bình Long xã Thái Bình (Đầu đường Quốc lộ 22B đến kênh TN17)</t>
  </si>
  <si>
    <t>Đường các lô (lô 1 đến lô 12) ấp Cầy Xiêng xã Đồng Khởi</t>
  </si>
  <si>
    <t>Đường Trí Bình-Thị trấn (Đường kênh TN17-16)</t>
  </si>
  <si>
    <t>Trụ Sở</t>
  </si>
  <si>
    <t>Nâng cấp sửa chữa trụ sở UBND xã Trí Bình</t>
  </si>
  <si>
    <t>Trường MG Đồng Khởi</t>
  </si>
  <si>
    <t>Nâng cấp, cải tạo trường Tiểu học Đồng Khởi</t>
  </si>
  <si>
    <t>Đối ứng vốn tỉnh hỗ trợ khác</t>
  </si>
  <si>
    <t>Dự án chuyển tiếp năm 2023 sang năm 2024</t>
  </si>
  <si>
    <t>Xây mới trụ sở UBND thị trấn</t>
  </si>
  <si>
    <t>Nâng cấp và mở rộng Đường Huyện 23</t>
  </si>
  <si>
    <t>Đối ứng xây dựng Đề án Công an xã</t>
  </si>
  <si>
    <t>Xây dựng trụ sở làm việc công an xã Biên Giới huyện Châu Thành</t>
  </si>
  <si>
    <t>Xây dựng trụ sở làm việc công an xã Đồng Khởi huyện Châu Thành</t>
  </si>
  <si>
    <t>Xây dựng trụ sở làm việc công an xã Phước Vinh huyện Châu Thành</t>
  </si>
  <si>
    <t>Xây dựng trụ sở làm việc công an xã Hảo Đước huyện Châu Thành</t>
  </si>
  <si>
    <t>Đầu tư xây dựng từ ngân sách huyện 100%</t>
  </si>
  <si>
    <t>Nâng cấp, cải tạo nhà ăn; xây mới nhà bếp Đại đội Bộ binh 40</t>
  </si>
  <si>
    <t>Nâng cấp, cải tạo Ban CHQS xã Ninh Điền</t>
  </si>
  <si>
    <t>Xây dựng kho quân khí của Ban CHQS huyện</t>
  </si>
  <si>
    <t>Làm đường và san sắp mặt bằng điểm dân cư liền kề chốt dân quân bố lớn xã Hòa Hội.</t>
  </si>
  <si>
    <t>Xây dựng nhà ở chốt dân quân Bố Lớn xã Hòa Hội</t>
  </si>
  <si>
    <t>Xây mới nhà làm việc khối vận xã An Bình</t>
  </si>
  <si>
    <t xml:space="preserve">Sửa chữa các Phòng ban huyện (Phòng Nông Nghiệp và PTNT và 03 trạm: Trạm Chăn nuôi- Thú y; Trạm Trồng trọt - Bảo vệ thực vật; Trạm Khuyến nông). 
</t>
  </si>
  <si>
    <t>Sửa chữa các Phòng ban huyện (Thanh Tra Huyện)</t>
  </si>
  <si>
    <t>Chi xây dựng nhà kho tạm giữ tang vật Phòng Tài chính - Kế hoạch</t>
  </si>
  <si>
    <t>Sửa chữa trạm y tế các xã.</t>
  </si>
  <si>
    <t>Xây mới nhà bảo vệ 05 điểm trường (Trường Tiểu học Hoà Hội, Trường Mẫu Giáo Biên Giới, Trường Mẫu giáo Hoà Hội, Trường Trung học cơ sở Ninh Điền, Trường Tiểu học Phạm Văn Nô).</t>
  </si>
  <si>
    <t>Đường tổ 22 Khu phố 2 Thị trấn Châu Thành</t>
  </si>
  <si>
    <t>Đường nối từ đường huyện 18 đến tuần tra biên giới</t>
  </si>
  <si>
    <t>Xây dựng Ban chỉ huy quân sự xã Long Vĩnh</t>
  </si>
  <si>
    <t>Nâng cấp, cải tạo Hội trường huyện ủy</t>
  </si>
  <si>
    <t>Đường huyện 1 (Hương Lộ 11B-Sông Vàm Cỏ)</t>
  </si>
  <si>
    <t>Xây mới nhà làm việc BCHQS xã Trí Bình</t>
  </si>
  <si>
    <t>Xây dựng Ban CHQS xã Hảo Đước.</t>
  </si>
  <si>
    <t>Xây dựng Ban CHQS xã Biên Giới.</t>
  </si>
  <si>
    <t>Xây dựng Ban CHQS xã Đồng Khởi</t>
  </si>
  <si>
    <t>Nâng cấp, sửa chữa Ban CHQS xã An Bình</t>
  </si>
  <si>
    <t>Đường từ cổng văn hóa Thành Tân (giao ĐH7) đến đường tuần tra biên giới</t>
  </si>
  <si>
    <t>BTXM Hẻm số 31 - Thanh Hùng (đối diện thánh thất)</t>
  </si>
  <si>
    <t>BTXM Hẻm số 33, Thanh Hùng</t>
  </si>
  <si>
    <t>BTXM Nhánh số 8 - Thanh Hùng</t>
  </si>
  <si>
    <t>Xây dựng  Ban CHQS xã Phước Vinh</t>
  </si>
  <si>
    <t>Sửa chữa Đường số 74, số 90 ấp Phước An xã Phước Vình</t>
  </si>
  <si>
    <t xml:space="preserve">Đường NĐ13 ấp Bến Cừ xã Ninh Điền  (từ chùa Sát rát đi Thành Long) </t>
  </si>
  <si>
    <t xml:space="preserve">Lắp đặt cống thoát nước ra kênh tiêu 13 C xã Hảo Đước </t>
  </si>
  <si>
    <t xml:space="preserve">Cải tạo, sửa chữa Trường mẫu giáo Hòa Hội (điểm chính và điểm phụ Bố Lớn) </t>
  </si>
  <si>
    <t>Ban CHQS huyện</t>
  </si>
  <si>
    <t>Ủy ban nhân thị trấn</t>
  </si>
  <si>
    <t>Gồm Tuyến chính và 04 tuyến nhánh: dài 1,542,77m
 - Tuyến chính dài: 814,64m  mặt đường láng nhựa 3,5m + lề sỏi 2x0,75m;
 - Nhánh 1 dài 218,08m; nhánh 2 dài 159,47m; nhánh 3 dài 113,86m; nhánh 4 dài 236,72m: mặt đường BTXM rộng 4,0m</t>
  </si>
  <si>
    <t>Tổng chiều dài: 2,598m. (Đ.22 dài 282,61m; Đ.24 dài: 161,36m; Đ.26 dài: 362,37m; Đ.30 dài 364,63m; Đ.32 dài: 266,04m; Đ.33 dài 139,75m; Đ.34 dài 190,39m; Đ.37 dài 199,37m; Đ.41 dài 104,54m; Đ.66 dài 527,14m) Mặt đường BTXM rộng 3.1m - 4m</t>
  </si>
  <si>
    <t>Chiều dài: 1281,54m. (gốm tuyến chính dài: 1202,03m + tuyến nhánh dài: 79,51m),  mặt đường sỏi đỏ rộng 5m.</t>
  </si>
  <si>
    <t>Dài 222,16m, mặt đường BTXM rộng 3,0 m; lề đường 2x0,5m=1,0m.</t>
  </si>
  <si>
    <t>Dài 442,1m; mặt đường đá 0x4 rộng 5,0m;</t>
  </si>
  <si>
    <t>Chiều dài: 706,52m. Láng nhựa mặt 5m, lề đường 1mx2bên, đá 4x6 dày 25cm, láng nhựa 03 lớp)</t>
  </si>
  <si>
    <t xml:space="preserve">Dài 184,54m, mặt đường láng nhựa rộng 3,5 m; lề sỏi đỏ rộng 0,75mx2 = 1,5m) </t>
  </si>
  <si>
    <t>Chiều dài 1.308,25m, mặt đường sỏi đỏ rộng 4m</t>
  </si>
  <si>
    <t>Gồm Tuyến chính và 04 tuyến nhánh: dài 1,673m
 - Tuyến chính và nhánh 4 mặt đường láng nhựa 3,5m + lề sỏi 2x0,75m;
 - Nhánh 1, 2, 3 mặt đường BTXM rộng 4,0m</t>
  </si>
  <si>
    <t>Tổng chiều dài 840,59m. Mặt đường sỏi đỏ rộng 4m</t>
  </si>
  <si>
    <t>Tổng chiều dài: 1.420,97m. Đoạn từ Km0+00 -:- Km0+680 dài 680m mặt đường láng nhựa rộng 3,5m, lề đường 0,75m x 2bên; đoạn từ Km0+680 -:- Km1+420,97 dài 740,97m mặt đường sỏi đỏ rộng 5m</t>
  </si>
  <si>
    <t>Dài 840.46 m, gồm 3 nhánh: Nhánh 1: 693.93m, nhánh 2: 60.85m, nhánh 3: 85.68, Mặt đường BTXM rộng 4m (nhánh 1,2), BTXM rộng 3m( nhánh 3)</t>
  </si>
  <si>
    <t>Chiều dài tuyến: 6186,4m</t>
  </si>
  <si>
    <t>Gồm Tuyến chính và 01 tuyến nhánh: dài 2.037,92m
 - Tuyến chính dài: 1.968,92m, mặt đường láng nhựa 3,5m + lề sỏi 2x0,75m;
 - Tuyến nhánh dài 105m, mặt đường BTXM rộng 4,0m</t>
  </si>
  <si>
    <t>Cải tạo trụ sở làm việc UBND xã, nhà đòan thể, nhà công an, hàng rào, cột cờ, nhà xe, sân nền - mương thoát nước, hội trường</t>
  </si>
  <si>
    <t xml:space="preserve">Điểm Thành Tây và Điểm Bến Sỏi
</t>
  </si>
  <si>
    <t>Xây mới khối chức năng; cải tạo 04 phòng học lầu; mở rộng nhà bếp; mương thoát nước; xây mới đài nước ; nhà bảo vệ; thiết bị</t>
  </si>
  <si>
    <t xml:space="preserve">* Điểm chính:Cải tạo 06 phòng học lầu;Xây mới 06 phòng học…..
* Điểm phụ: (TH Bùi Xuân Quyền)
</t>
  </si>
  <si>
    <t>Cải tạo trụ sở chính (giao cho khối đoàn thể); Cải tạo các khối nhà hiện trạng; Xây mới phòng làm việc Đảng ủy và UBND (tại vị trí Trung tâm bồi dưỡng chính trị); Xây mới hội trường 300 chỗ (Xây lắp + Thiết bị); Xây mới sân nền khuôn viên UBND; Thiết bị phục vụ cho CBCC, VC.</t>
  </si>
  <si>
    <t>Tổ chiều dài 10.000m, mặt đường 6m, nền 9m</t>
  </si>
  <si>
    <t>diện tích sử dụng đất 1.045m2, quy mô: nhà làm việc, sân nền, cổng hàng rào, san lắp mặt bằng, thiết bị, cổng hàng rào</t>
  </si>
  <si>
    <t xml:space="preserve">
Quy mô: Khối làm việc (1 trệt, 1 lầu), nhà xe</t>
  </si>
  <si>
    <t>Quy mô: XD Khối làm việc (1 trệt, 1 lầu): các phòng làm việc, phòng nghỉ, phòng trực, tạm giữ, tiếp dân, kho, vệ sinh. Nhà để xe CB và nhà để xe tạm giữ;  Khuôn viên: sân nền, đường vào, cột cờ, cổng + hàng rào mặt trước.</t>
  </si>
  <si>
    <t>Cải tạo sửa chữa nhà ăn,  xây mới nhà bếp 103,6m2</t>
  </si>
  <si>
    <t>sửa chữa, cải tạo nhà ăn, nhà làm việc, nhà xe, xây mới máy che trước sau, cải tạo cổng, hàng rào, sân nền</t>
  </si>
  <si>
    <t>Xây mới kho quân khí: diện tích 770,9m2, mương thoát nước, ụ chống nỗ, sân đường nội bộ</t>
  </si>
  <si>
    <t>làm đường, san lắp mặt bằng</t>
  </si>
  <si>
    <t>xây mới nhà làm việc, nhà ăn, nhà vệ sinh, san lấp mặt bằng, sân nền, cổng, cột cờ, đài nước</t>
  </si>
  <si>
    <t>Xây mới khối nhà làm việc 01 trệt, 01 lầu; Xây mới đài nước; Làm mới nhà xe mái tôn; Lát mới sân nền gạch Terrazzo; Hệ thống hạ tầng kỹ thuật, điện – nước, chống sét; Làm cầu nối từ khối xây mới qua khối nhà làm việc UBND xã.</t>
  </si>
  <si>
    <t>Cải tạo phòng làm việc, sân nền, nhà kho 03 trạm, hàng rào, nhà xe…</t>
  </si>
  <si>
    <t>Cải tạo phòng làm việc, sân nền, thiết bị</t>
  </si>
  <si>
    <t>Diện tích sử dụng đất 72m2</t>
  </si>
  <si>
    <t xml:space="preserve">Cải tạo, sửa chữa trạm y tế: An Bình, Thái Bình,Hòa Thạnh, </t>
  </si>
  <si>
    <t>xây mới nhà bảo vệ</t>
  </si>
  <si>
    <t>Tổng chiều dài 484m; mặt đường BTXM, chiều rộng mặt đường 4m, chiều rộng lề 2 bên 0,5m x2, chiều rộng nền đường 5m</t>
  </si>
  <si>
    <t>Chiều dài 810m, rộng 3,5m, lề 1,5m x 2 bên, láng nhựa 3 lớp…</t>
  </si>
  <si>
    <t>Công trình 1 tầng cao 8,78m, gồm: 03 phòng làm việc, phòng họp, phòng ngủ, phòng ăn, nhà vệ sinh, nhà kho…</t>
  </si>
  <si>
    <t>Cải tạo hội trường, Xây mới Nhà vệ sinh,làm mới lối đi, máy che. Hệ thống hạ tầng kỹ thuật, chiếu sáng tổng thể, cây xanh. Trang thiết bị</t>
  </si>
  <si>
    <t>Tổng chiều dài 440m; mặt đường láng nhựa rộng 7,0m; lề sỏi đỏ rộng 2x1,0m; nền đường rộng 9,0m</t>
  </si>
  <si>
    <t>Xây mới trụ sở làm việc, nhà ăn, sân nền…</t>
  </si>
  <si>
    <t>Xây mới nhà làm việc ban chỉ huy, nhà ăn, nhà vệ sinh, sân nền, nhà ở dân quân thường trực…</t>
  </si>
  <si>
    <t>Xây mới nhà ăn, nhà bếp,nhà vệ sinh, nâng cấp sửa chữa nhà ở…</t>
  </si>
  <si>
    <t>Tổng chiều dài tuyến: 5263,13m. Đoạn 1 dài mặt đường láng nhựa 2142m, rộng 5,5m lề đường 1,0m x 2bên = 2m. Đoạn 2 dài 3063,13m mặt đường sỏi đỏ rộng 5,0m</t>
  </si>
  <si>
    <t>Dài 505,2m; mặt đường BTXM rộng 4,0m</t>
  </si>
  <si>
    <t>Dài 505,5m; mặt đường BTXM rộng 4,0m</t>
  </si>
  <si>
    <t>Tổng chiều dài tuyến: 1.177,19m. Chiều rộng mặt đường BTXM 4m</t>
  </si>
  <si>
    <t>Dài khoảng 1.400 m, sửa chữa dặm vá ổ gà bằng cấp phối sỏi đỏ, đắp bù bằng đá 0x4 đoạn đầu tuyến; xử lý bằng sỏi đỏ những đoạn tuyến còn lại.</t>
  </si>
  <si>
    <t>Dài khoảng 3.000 m, hiện trạng đường sỏi đỏ rộng trung bình 5m hư hỏng xuống cấp nặng; sửa chữa dặm vá ổ gà bằng sỏi đỏ, nâng sỏi đỏ những đoạn tuyến hư hỏng nặng.</t>
  </si>
  <si>
    <t>lắp đặt cống D100 dài 7m, cặp bên hông cống cũ D60</t>
  </si>
  <si>
    <t>Điểm chính: Cải tạo văn phòng, khối 2 phòng học, cải tạo cổng hàng rào, xây mới hàng rào...
Điểm phụ (Bố Lớn): cải tạo phòng học...</t>
  </si>
  <si>
    <t>7922607</t>
  </si>
  <si>
    <t>7922602</t>
  </si>
  <si>
    <t>7922600</t>
  </si>
  <si>
    <t>xã Trí Bình</t>
  </si>
  <si>
    <t xml:space="preserve">
xã Thái Bình</t>
  </si>
  <si>
    <t>Thành
-Long - Hòa Hội</t>
  </si>
  <si>
    <t xml:space="preserve"> xã Biên Giới </t>
  </si>
  <si>
    <t xml:space="preserve"> xã Hòa Thạnh </t>
  </si>
  <si>
    <t xml:space="preserve"> xã Phước Vinh </t>
  </si>
  <si>
    <t>xã Hòa Hội</t>
  </si>
  <si>
    <t>Ninh Điền</t>
  </si>
  <si>
    <t>Thị trấn Châu Thành</t>
  </si>
  <si>
    <t>Thị trấn 
Châu Thành</t>
  </si>
  <si>
    <t>Các xã An Bình, Thái Bình,Hòa Thạnh,</t>
  </si>
  <si>
    <t>các xã Biên Giới, Hòa Hội,Ninh Điến</t>
  </si>
  <si>
    <t>xã Ninh Điền</t>
  </si>
  <si>
    <t xml:space="preserve">KBNN huyện </t>
  </si>
  <si>
    <t>Xã Trí Bình</t>
  </si>
  <si>
    <t>xã Biên Giới</t>
  </si>
  <si>
    <t>xã Phước Vinh</t>
  </si>
  <si>
    <t>383/QĐ-UBND ngày 25/09/2023</t>
  </si>
  <si>
    <t>394/QĐ-UBND ngày 05/10/2023</t>
  </si>
  <si>
    <t>394/ QĐ-UBND ngày 16/10/2023</t>
  </si>
  <si>
    <t>408/QĐ-UBND ngày 18/10/2023</t>
  </si>
  <si>
    <t>406/QĐ-UBND ngày 16/10/2023</t>
  </si>
  <si>
    <t>420/QĐ-UBND ngày 30/10/2023</t>
  </si>
  <si>
    <t>466/QĐ-UBND ngày 20/11/2023</t>
  </si>
  <si>
    <t>427/QĐ-UBND ngày 03/11/2023</t>
  </si>
  <si>
    <t>428/QĐ-UBND ngày 06/11/2023</t>
  </si>
  <si>
    <t>484/QĐ-UBND ngày 07/12/2023</t>
  </si>
  <si>
    <t>477/QĐ-UBND ngày 04/12/2023</t>
  </si>
  <si>
    <t>483/QĐ-UBND ngày 06/12/2023</t>
  </si>
  <si>
    <t>492/QĐ-UBND ngày 18/12/2023</t>
  </si>
  <si>
    <t>505/QĐ-UBND ngày 26/12/2023</t>
  </si>
  <si>
    <t>458/QĐ-UBND ngày 16/11/2023</t>
  </si>
  <si>
    <t>493/QĐ-UBND ngày 18/12/2023</t>
  </si>
  <si>
    <t>486/ QĐ-UBND ngày 12/12/2023</t>
  </si>
  <si>
    <t>500/ QĐ-UBND ngày 22/12/2023</t>
  </si>
  <si>
    <t>23/ QĐ-UBND ngày 13/01/2022</t>
  </si>
  <si>
    <t xml:space="preserve">950/QĐ-UBND 31/12/2021; 600/QĐ-BQLDA 26/7/2022
</t>
  </si>
  <si>
    <t>số 584/QĐ-UBND ngày 30/12/2022</t>
  </si>
  <si>
    <t>số 561/QĐ-UBND ngày 20/12/2022</t>
  </si>
  <si>
    <t>số 105/QĐ-UBND ngày 09/3/2023</t>
  </si>
  <si>
    <t xml:space="preserve">QĐ số  526/QĐ-UBND, 29/12/2023
</t>
  </si>
  <si>
    <t xml:space="preserve">QĐ số  525/QĐ-UBND, 29/12/2023
</t>
  </si>
  <si>
    <t xml:space="preserve">QĐ số  33/QĐ-UBND, 02/02/2023
</t>
  </si>
  <si>
    <t xml:space="preserve">QĐ số 590/QĐ-UBND, 30/12/2022
</t>
  </si>
  <si>
    <t>QĐ số 423/QĐ-UBND, 28/9/2022</t>
  </si>
  <si>
    <t>414/ QĐ-UBND ngày 31/12/2022</t>
  </si>
  <si>
    <t>967/ QĐ-UBND ngày 31/12/2021</t>
  </si>
  <si>
    <t>975/ QĐ-UBND ngày 31/12/2021</t>
  </si>
  <si>
    <t>970/ QĐ-UBND ngày 31/12/2021; 439/QĐ-UBND ngày 09/11/2023</t>
  </si>
  <si>
    <t>969/ QĐ-UBND ngày 31/12/2021</t>
  </si>
  <si>
    <t>99/ QĐ-UBND ngày 06/03/2023</t>
  </si>
  <si>
    <t>QĐ số 613/QĐ-UBND, 14/10/2021; QĐ số 135/QĐ-UBND, 28/03/2023</t>
  </si>
  <si>
    <t>585/ QĐ-UBND ngày 05/10/2022</t>
  </si>
  <si>
    <t>274/QĐ-UBND,ngày 11/07/2023</t>
  </si>
  <si>
    <t>2284/QĐ-UBND, ngày 18/07/2023</t>
  </si>
  <si>
    <t>số 951/QĐ-UBND ngày 31/12/2021</t>
  </si>
  <si>
    <t>271/QĐ-UBND, ngày 11/07/2023</t>
  </si>
  <si>
    <t>272/QĐ-UBND, ngày 11/07/2023</t>
  </si>
  <si>
    <t>275/QĐ-UBND, ngày 11/07/2023</t>
  </si>
  <si>
    <t>273/QĐ-UBND, ngày 11/07/2023</t>
  </si>
  <si>
    <t>45/QĐ-UBND 14/01/2022</t>
  </si>
  <si>
    <t>628/QĐ-UBND 30/10/2020</t>
  </si>
  <si>
    <t>615/QĐ-UBND 30/10/2020</t>
  </si>
  <si>
    <t>623/QĐ-UBND ngày 14/10/2021</t>
  </si>
  <si>
    <t>411/QĐ-UBND, ngày 20/10/2023</t>
  </si>
  <si>
    <t>414/QĐ-UBND, ngày 25/10/2023</t>
  </si>
  <si>
    <t>415/QĐ-UBND, ngày 27/10/2023</t>
  </si>
  <si>
    <t>321/QĐ-UBND, ngày 04/08/2023</t>
  </si>
  <si>
    <t>382/QĐ-UBND, ngày 22/09/2023</t>
  </si>
  <si>
    <t>2021-2023</t>
  </si>
  <si>
    <t>2022-2023</t>
  </si>
  <si>
    <t>VỐN NGÂN SÁCH HUYỆN</t>
  </si>
  <si>
    <t>Chi ủy thác qua ngân hàng chính sách xã hội</t>
  </si>
  <si>
    <t>Thanh toán khối lượng dự án chuyển tiếp năm 2023 chuyển sang năm 2024</t>
  </si>
  <si>
    <t>Đường liên ấp tổ 9 Bàu Sen - ấp Trường, xã Hảo Đước</t>
  </si>
  <si>
    <t>Đường trung tâm ấp Bình Lợi xã Hảo Đước, xã Hảo Đước</t>
  </si>
  <si>
    <t>Đường tổ 16 - kênh tiêu 13C - Tập đoàn 3, xã Hảo Đước</t>
  </si>
  <si>
    <t>Văn hóa</t>
  </si>
  <si>
    <t>Trung tâm VHTT-HTCĐ xã Hảo Đước</t>
  </si>
  <si>
    <t>Trường tiểu học Hảo Đước A</t>
  </si>
  <si>
    <t>Trường tiểu học Hảo Đước B</t>
  </si>
  <si>
    <t>Trường mẫu giáo Hảo Đước (giai đoạn 2)</t>
  </si>
  <si>
    <t>Trường THCS Hảo Đước</t>
  </si>
  <si>
    <t>Giáo dục ( 1 dự án )</t>
  </si>
  <si>
    <t>QĐ số 574/QĐ-UBND, ngày 27/12/2022</t>
  </si>
  <si>
    <t>QĐ số 607/QĐ-UBND, ngày 30/12/2022</t>
  </si>
  <si>
    <t>QĐ số 616/QĐ-UBND, ngày 30/12/2022</t>
  </si>
  <si>
    <t>số 95/QĐ-UBND ngày 03/03/2023</t>
  </si>
  <si>
    <t>số 65/QĐ-UBND ngày 27/02/2023</t>
  </si>
  <si>
    <t>số 88/QĐ-UBND ngày 01/03/2023</t>
  </si>
  <si>
    <t>số 96/QĐ-UBND ngày 03/03/2023</t>
  </si>
  <si>
    <t>số 77/QĐ-UBND ngày 01/03/2023</t>
  </si>
  <si>
    <t>Tổng chiều dài: 4.689m (gồm: T1: 1.667m, T2: 946m, T3: 2076), mặt đường láng nhựa rộng 3,5m, lề sỏi rộng 2x 0,75m)</t>
  </si>
  <si>
    <t>Tổng chiều dài: 2.507m, gồm 02 tuyến. Tuyến 1 dài 1.748,61m. Tuyến 2 dài 758,4m</t>
  </si>
  <si>
    <t>Tổng chiều dài: 1813,44m - mặt đường sỏi đỏ rộng 5m</t>
  </si>
  <si>
    <t xml:space="preserve"> Xây mới hội trường ttvh và 5 phòng chức năng, thiết bị.</t>
  </si>
  <si>
    <t xml:space="preserve"> Điểm bến trường: Xây mới 03 phòng trệt, xây 02 phòng lầu nối vô 04 phòng lầu hiện trạng...; Điểm bình lợi: Xây mới 06 phòng học lầu, xây mới 04 phòng học chức năng, …</t>
  </si>
  <si>
    <t>Điểm cầu trường: Xây mới 04 phòng trệt, cải tạo 04 phòng lầu, sân vườn, cải tạo hàng rào, cải tạo nhà vệ sinh
- Điểm Bàu Sen: Xây mới các phòng chức năng…...</t>
  </si>
  <si>
    <t>*Điểm chính (điểm Bàu Sen): Xây mới dãy phòng chức năng ….* Điểm phụ (điểm Bình Lợi): cải tạo 02 phòng học
Sân vườn, Hệ thống nước tưới;Hệ thống nước rửa tay ngoài trời cho trẻ; Nhà vệ sinh cho CB, GV</t>
  </si>
  <si>
    <t>Cải tạo 12 phòng học lầu. Cải tạo 9 phòng học trệt thành các phòng hành chính. Xây mới 08 phòng bộ môn -…..</t>
  </si>
  <si>
    <t>C</t>
  </si>
  <si>
    <t>VỐN TRUNG ƯƠNG THỰC HIỆN CTMTQG XÂY DỰNG NTM</t>
  </si>
  <si>
    <t>Dự án khởi công mới năm 2024</t>
  </si>
  <si>
    <t>QĐ Phê duyệt BCKTKT/QĐ phê duyệt QT</t>
  </si>
  <si>
    <t>27/QĐ-UBND ngày 07/02/2024</t>
  </si>
  <si>
    <t>573/QĐ-UBND ngày 29/12/2023</t>
  </si>
  <si>
    <t>29/QĐ-UBND ngày 07/02/2024</t>
  </si>
  <si>
    <t>Nâng cấp, cải tạo Trường Tiểu học Tua Hai xã Đồng Khởi</t>
  </si>
  <si>
    <t>Nhà văn hoá ấp Bình Lợi xã Hảo Đước</t>
  </si>
  <si>
    <t>Nhà văn hoá ấp Trường xã Hảo Đước</t>
  </si>
  <si>
    <t>Cải tạo trụ sở UBND xã Thái Bình (giai đoạn 2)</t>
  </si>
  <si>
    <t>Đường Đ.64 (Đ.64-9,Đ.64-12) ấp Chòm Dừa xã Đồng Khởi</t>
  </si>
  <si>
    <t>Đường NĐ52-1-1 ấp Bình Lương xã Đồng Khởi</t>
  </si>
  <si>
    <t>Nâng cấp trụ sở UBND xã Đồng Khởi</t>
  </si>
  <si>
    <t>Đường Tổ 10-12 ấp Bình Hòa</t>
  </si>
  <si>
    <t>Đường tổ 2 ấp Chòm Dừa xã Đồng Khởi</t>
  </si>
  <si>
    <t>Đường NĐ51, NĐ49, NĐ19 ấp Bình Lương xã Đồng Khởi</t>
  </si>
  <si>
    <t>Hệ thống thoát nước đường vô UBND xã Trí Bình</t>
  </si>
  <si>
    <t>Đường Trà Cốt (Cầu 6 Tấn) ấp Bình Lương xã Đồng Khởi</t>
  </si>
  <si>
    <t>Đường tổ 7 ấp Chòm Dừa xã Đồng Khởi</t>
  </si>
  <si>
    <t>Đường NĐ48 ấp Bình Lương xã Đồng Khởi</t>
  </si>
  <si>
    <t>Đường tổ 16 (nhà 9 Ân) - NĐ12 ấp Cầy Xiêng xã Đồng Khởi</t>
  </si>
  <si>
    <t>Xây dựng Trung tâm VHTTHTCĐ xã Trí Bình</t>
  </si>
  <si>
    <t>Đường tổ 2-3-4-5-6 ấp Bình Hòa xã Thái Bình</t>
  </si>
  <si>
    <t>Sửa chữa Chợ xã Hảo Đước</t>
  </si>
  <si>
    <t>Đường bờ kênh tiêu 13C - Lộ Nam Dương, xã Hảo Đước</t>
  </si>
  <si>
    <t>Nhà văn hoá ấp Cầu Trường xã Hảo Đước</t>
  </si>
  <si>
    <t>Nhà văn hoá ấp Bàu Sen xã Hảo Đước</t>
  </si>
  <si>
    <t>Đường tổ 1,2,7 ấp Sân Lễ, xã Hảo Đước</t>
  </si>
  <si>
    <t>Đường tổ 6 ấp Cầu Trường xã Hảo Đước</t>
  </si>
  <si>
    <t>Đường nghĩa địa ấp Cầu Trường, xã Hảo Đước</t>
  </si>
  <si>
    <t>Nâng cấp hàng rào TTVH. TT. HTCĐ  xã và xây mới hàng rào, sân nền nhà văn hóa ấp Thanh An, An Điền, Thanh Bình, xã An Bình</t>
  </si>
  <si>
    <t>551/QĐ-UBND ngày 29/12/2023</t>
  </si>
  <si>
    <t>13/QĐ-UBND ngày 23/01/2024</t>
  </si>
  <si>
    <t>12/QĐ-UBND ngày 23/01/2024</t>
  </si>
  <si>
    <t>06/QĐ-UBND ngày 16/01/2024</t>
  </si>
  <si>
    <t>520/QĐ-UBND ngày 28/12/2023</t>
  </si>
  <si>
    <t>28/ QĐ-UBND ngày 13/01/2022</t>
  </si>
  <si>
    <t>số 98/QĐ-UBND ngày 03/03/2023</t>
  </si>
  <si>
    <t>số 80/QĐ-UBND ngày 28/02/2023</t>
  </si>
  <si>
    <t>số 79/QĐ-UBND ngày 28/02/2023</t>
  </si>
  <si>
    <t>số 572/QĐ-UBND ngày 30/10/2020</t>
  </si>
  <si>
    <t>Đồng Khởi</t>
  </si>
  <si>
    <t>- Hàng rào mặt chính: sữa chữa hè (PGD 
- Các mặt HR còn lại: Cải tạo, sơn phết.
- Xây mới khối phòng chức năng, thiết bị
- Khối lầu hiện trạng gồm 12 phòng.
+ Sử dụng: 10 lớp học.
+ 02: phòn chức năng.
- Tổng số HS: 223 HS
- Tổng số CB-GV-NV: 20 người.
- Sân nền theo thực tế. (còn khoảng 1/4 diện tích)</t>
  </si>
  <si>
    <t>Xây hội trường 100 chổ, thiết bị</t>
  </si>
  <si>
    <t>Cải tạo sân nền, xây mới nhà kho, sửa chữa nhà làm việc, sơn cổng hàng rào, thay cửa nhà vệ sinh…</t>
  </si>
  <si>
    <t xml:space="preserve"> Nâng cấp, cải tạo nhà làm việc UBND.
Xây mới khối Đoàn thể hội trường 50 chổ, các chi hội, nhà một cửa.
Xây mới nhà xe UBND xã, cải tạo nhà ăn, Xây mới nhà bếp, nhà vệ sinh, nâng cấp cổng và hàng rào . Nâng cấp sân bê tông, hệ thống thoát nước
Thiết bị. Hệ thống điện tổng thể </t>
  </si>
  <si>
    <t xml:space="preserve">xây mới hội trường 250 chỗ, thiết bị, sân nền, cải tạo hàng rào mặt trước, cải tạo 05 phòng chức , </t>
  </si>
  <si>
    <t>Sửa chữa, nhà vệ sinh, hệ thống nước</t>
  </si>
  <si>
    <t>Nâng cấp sân nền và hàng rào văn phòng ấp Thanh Bình. Nâng cấp sân nền và hàng rào văn phòng ấp An Điền. Nâng cấp sân nền và hàng rào văn phòng ấp Thanh An. Nâng cấp hàng rào Trung tâm VHTT.HT.CĐ xã.</t>
  </si>
  <si>
    <t xml:space="preserve"> Nâng cấp Đường Thanh niên </t>
  </si>
  <si>
    <t>Đường cặp Trung tâm văn hóa huyện Châu Thành</t>
  </si>
  <si>
    <t>Thị trấn CT</t>
  </si>
  <si>
    <t>360m x 4m  BT Nhựa (điểm đầu: Nhà thờ vinh Sơn; điểm cuối: Võ Thị Sáu)</t>
  </si>
  <si>
    <t>Tổng chiều dài tuyến: 701,83 m; Mặt đường BTN 7m, lề sỏi đỏ 1mx2</t>
  </si>
  <si>
    <t>549/QĐ-UBND ngày 29/12/2023</t>
  </si>
  <si>
    <t>949/ QĐ-UBND ngày 31/12/2021</t>
  </si>
  <si>
    <t>Đối ứng vốn tỉnh HTMT Phát triển Thành phố/thị xã</t>
  </si>
  <si>
    <t>Xây dựng mới Chợ Thái Bình</t>
  </si>
  <si>
    <t>Công viên cây xanh khu trụ nhọn</t>
  </si>
  <si>
    <t>xã Thái Bình</t>
  </si>
  <si>
    <t>2020-2023</t>
  </si>
  <si>
    <t>Xây mới nhà lồng chợ, đường nội bộ, hệ thống thoát nước và chiếu sáng, mương thoát nước, xây mới nhà vệ sinh.</t>
  </si>
  <si>
    <t>xây mới công viên cây xanh trụ nhọm, đường kính vòng xoay 69m, thân đài biểu tượng có chiều cao tính từ mặt đất là 12,9m</t>
  </si>
  <si>
    <t>Dự án đầu tư mới năm 2024</t>
  </si>
  <si>
    <t>Xây mới văn phòng khu phố 4 thị trấn Châu Thành</t>
  </si>
  <si>
    <t>Cải tạo, sửa chửa hệ thống thoát nước Đường vào Ban Chỉ huy quân sự thị trấn</t>
  </si>
  <si>
    <t>UBND thị trấn</t>
  </si>
  <si>
    <t>2024-2026</t>
  </si>
  <si>
    <t>xây mới văn phòng KP, nâng nền, lát gạch, hàng rào, thiết bị</t>
  </si>
  <si>
    <t>Cải tạo sửa chữa, chiều dài 213,6m</t>
  </si>
  <si>
    <t>792/QĐ-UBND, 31/12/2021</t>
  </si>
  <si>
    <t>965/QĐ-UBND 31/12/2021</t>
  </si>
  <si>
    <t>17/QĐ-UBND 24/01/2024</t>
  </si>
  <si>
    <t>596/QĐ-UBND 14/10/2021</t>
  </si>
  <si>
    <t>UBND xã Thành Long</t>
  </si>
  <si>
    <t>BQLDA</t>
  </si>
  <si>
    <t>Phụ lục 1</t>
  </si>
  <si>
    <t>Phụ lục 2</t>
  </si>
  <si>
    <t>Trường Tiểu học Long Vĩnh</t>
  </si>
  <si>
    <t>434/QĐ-UBND ngày 13/11/2023</t>
  </si>
  <si>
    <t>Chỉnh trang Đường Bùi Xuân Nguyên (đoạn từ Đường Hoàng Lê Kha đến ĐT781)</t>
  </si>
  <si>
    <t>Trường THCS Trí Bình</t>
  </si>
  <si>
    <t>073</t>
  </si>
  <si>
    <t xml:space="preserve">Cải tạo 06 phòng học lầu: chú ý gạch nền; Xây mới 04 phòng học; phòng Hành chính-chức năng.
</t>
  </si>
  <si>
    <t>963/ QĐ-UBND ngày 31/12/2021</t>
  </si>
  <si>
    <t>Nâng cấp, cải tạo Trường Mẫu giáo Trí Bình</t>
  </si>
  <si>
    <t>071</t>
  </si>
  <si>
    <t xml:space="preserve">*Điểm chính : 
*Điểm phụ : chung trường TH Phạm Tự Điểm
</t>
  </si>
  <si>
    <t>Nhà bia tưởng niệm 65 cán bộ, chiến sĩ Tiểu đoàn 4, Trung đoàn 2, Sư đoàn 9 đã anh dũng chiến đấu hy sinh tại Gò Nổi, Ninh Điền từ ngày 05 đến ngày 09 tháng 6 năm 1969</t>
  </si>
  <si>
    <t>Sửa chữa đường Thanh Điền 5  (đoạn đường huyện 9 đến đường Thanh Điền 8)</t>
  </si>
  <si>
    <t>Phòng KT-HT</t>
  </si>
  <si>
    <t>Tổng chiều dài: 1.522,76m, thảm mặt đường bằng bê tông nhựa nóng.</t>
  </si>
  <si>
    <t xml:space="preserve">Quyết định 16/QĐ-UBND ngày 17/01/2023 </t>
  </si>
  <si>
    <t>Sửa chữa đường Thanh Điền 1 xã Thanh Điền</t>
  </si>
  <si>
    <t>Điểm đầu: Đường tỉnh 786;
Điểm cuối:  Cổng trại giam tỉnh; Dài 1.800 m, sửa chữa dặm vá ổ gà bằng bê tông đá 1x2 M200, thảm bê tông nhựa nóng mặt đường, đắp bù sỏi đỏ lề đường.</t>
  </si>
  <si>
    <t>Quyết định số 208/UBND ngày 15/5/2023</t>
  </si>
  <si>
    <t>Sửa chữa đường Thanh Điền 14 xã Thanh Điền</t>
  </si>
  <si>
    <t>Dài 1.500 m, sửa chữa dặm vá ổ gà bằng đá 4x6 chèn đá dăm dày 20cm, láng nhựa 02 lớp dày 2,5cm tiêu chuẩn 3kg/m2 những vị trí bong tróc và xử lý ổ gà.</t>
  </si>
  <si>
    <t>2023-2024</t>
  </si>
  <si>
    <t>Số 243/QĐ-UBND ngày 23/6/2023</t>
  </si>
  <si>
    <t>Sửa chữa đường Bùi Xuân Quyên xã Đồng Khởi</t>
  </si>
  <si>
    <t>Dài 2.100 m, xử lý ổ gà bằng bê tông đá 1x2 M200, thảm bê tông nhựa nóng mặt đường những vị trí xử lý ổ gà, thảm tăng cường mặt đường bằng BTN nóng những vị trí bị răng nứt, đắp bù sỏi đỏ lề đường nhựng vị trí mất an toàn giao thông.</t>
  </si>
  <si>
    <t>Số 234/QĐ-UBND ngày 22/6/2023</t>
  </si>
  <si>
    <t>Sửa chữa Đường Rạch Ráng xã An Bình</t>
  </si>
  <si>
    <t>Dài khoảng 1.500m, Xử lý hư hỏng những vị trí bị bong nhựa, rạn nứt chân chim; tưới nhựa 2 lớp dày 2,5cm tiêu chuẩn 3kg/m2.</t>
  </si>
  <si>
    <t>Số 244/QĐ-UBND ngày 23/6/2023</t>
  </si>
  <si>
    <t>Sửa chữa Đường Rỗng Lớn xã An Bình</t>
  </si>
  <si>
    <t>Dài khoảng 975m, Xử lý hư hỏng những vị trí bị bong nhựa, rạn nứt chân chim;  xử lý ổ gà bằng đá 4x6 dày 2,5cm; tưới nhựa 2 lớp dày 2,5cm tiêu chuẩn 3kg/m2.</t>
  </si>
  <si>
    <t>Số 237/QĐ-UBND ngày 22/6/2023</t>
  </si>
  <si>
    <t>Sửa chữa đường vô nghĩa địa ấp Tân Long xã Biên Giới.</t>
  </si>
  <si>
    <t>Số 238/QĐ-UBND ngày 22/6/2023</t>
  </si>
  <si>
    <t>Sửa chữa đường lô 2 ấp Hiệp Bình và Đường tổ 8 ấp Hiệp Phước xã Hòa Thành</t>
  </si>
  <si>
    <t>Số 242/QĐ-UBND ngày 23/6/2023</t>
  </si>
  <si>
    <t>Nâng cấp đường vào nhà tạm giữ Công an huyện Châu Thành</t>
  </si>
  <si>
    <t>Dài 68,5m,  làm mặt đường bằng bê tông xi măng đá 1x2 M250 rộng 4m; bổ sung mương thoát nước ngang bằng BTCT cuối tuyến, nắp đan chắn rác bằng thép mạ kẻm.</t>
  </si>
  <si>
    <t>Số 233/QĐ-UBND ngày 23/6/2023</t>
  </si>
  <si>
    <t>Di dời và bổ sung đèn chiếu sáng công cộng từ đường huyện 3 qua đường huyện 2 và từ đường 781, QL22B (đoạn từ ngã tư Tm Hạp đến ngã 3 chùa Giác Ngạn) qua Đường huyện 7.</t>
  </si>
  <si>
    <t>- Tận dụng 99 cần đèn và dây từ đường 781, QL22B (đoạn từ ngã tư tam Hạp đến ngã 3 chùa Giác Ngạn) qua gắn Đường huyện 7 (bổ sung bóng).
- Tận dụng 14 bộ bóng đèn và cần đèn từ đường huyện 3 sang gắn đường huyện 2 (tận dụng 14 bóng, gắn mới 7 bóng).</t>
  </si>
  <si>
    <t>Số 255/QĐ-UBND ngày 27/6/2023</t>
  </si>
  <si>
    <t>Sửa chữa, cải tạo chợ Ninh Điền</t>
  </si>
  <si>
    <t xml:space="preserve">xã Ninh Điền </t>
  </si>
  <si>
    <t>cải tạo , sửa chữa</t>
  </si>
  <si>
    <t xml:space="preserve">22/QĐ-UBND 30/01/2024
</t>
  </si>
  <si>
    <t>Sửa chữa chợ Biên Giới</t>
  </si>
  <si>
    <t>Xây dựng mới</t>
  </si>
  <si>
    <t xml:space="preserve">791/QĐ-UBND 31/12/2021
</t>
  </si>
  <si>
    <t>Sửa chữa, cải tạo Chợ Phước Vinh</t>
  </si>
  <si>
    <t xml:space="preserve"> sửa chữa, cải tạo</t>
  </si>
  <si>
    <t xml:space="preserve">21/QĐ-UBND 30/1/2024
</t>
  </si>
  <si>
    <t>Sửa chữa, nâng cấp Công viên xã Thanh Điền</t>
  </si>
  <si>
    <t xml:space="preserve">xã Thanh
 Điền </t>
  </si>
  <si>
    <t xml:space="preserve"> Sân nền, đường nội bộ, Cây xanh, tiểu cảnh, hệ thống tưới; Hàng rào xung quanh; Hạ tầng kỹ thuật, trang thiết bị phụ vụ công cộng</t>
  </si>
  <si>
    <t xml:space="preserve">271/QĐ-UBND 16/05/2022
</t>
  </si>
  <si>
    <t>Nâng cấp, mở rộng đường từ ĐT.786 đến đường tổ 4-5-6 ấp Thanh Thuận, xã Thanh Điền</t>
  </si>
  <si>
    <t>Nâng cấp, mở rộng đường bê tông xi măng thành đường nhựa, chiều rộng mặt đường 5,0m</t>
  </si>
  <si>
    <t xml:space="preserve">555/QĐ-UBND 29/12/2023
</t>
  </si>
  <si>
    <t>Nâng cấp Chợ Bến Sỏi xã Thành Long</t>
  </si>
  <si>
    <t>Nâng nền Chợ, làm nhà sắt tiền chế cho tiểu thương, sơn nhà lòng, xây mới nhà vệ sinh</t>
  </si>
  <si>
    <t xml:space="preserve">968/QĐ-UBND 31/12/2024
</t>
  </si>
  <si>
    <t>Nâng cấp trụ sở UBND xã Long Vĩnh</t>
  </si>
  <si>
    <t xml:space="preserve"> - Xây mới nhà kho, nhà xe khu làm việc 01 cửa;
 - Cải tạo khối đặc thù, sân nền, nhà ăn;
 - Thiết bị.</t>
  </si>
  <si>
    <t>48/QĐ-UBND ngày 16/02/2023</t>
  </si>
  <si>
    <t>Đường từ Long Vĩnh đi Long Chữ</t>
  </si>
  <si>
    <t>Dài: 3.020m, mặt đường láng nhựa rộng 7,0m, lề đường sỏi đỏ rộng 2x1m=2,0m. Nền đường rộng 9,0m</t>
  </si>
  <si>
    <t>578/QĐ-UBND ngày 29/12/2023</t>
  </si>
  <si>
    <t>Nâng cấp đường tổ 3 bến phà ấp Rạch Tre xã Biên Giới</t>
  </si>
  <si>
    <t>Dài: 754,74m, mặt đường sỏi đỏ rộng 5,0m</t>
  </si>
  <si>
    <t>160/QĐ-UBND ngày 16/04/2024</t>
  </si>
  <si>
    <t>Xây mới trụ sở Công an Thị trấn</t>
  </si>
  <si>
    <t>xây mới</t>
  </si>
  <si>
    <t>163/QĐ-UBND, 22/04/2024</t>
  </si>
  <si>
    <t>Nâng cấp, mở rộng Đường huyện 3 (đoạn từ ngã tư Tam Hạp đến ngã 3 Sọ)</t>
  </si>
  <si>
    <t>Sửa chữa trạm y tế các xã (giai đoạn 2)</t>
  </si>
  <si>
    <t>Nâng cấp, cải tạo Trường THCS Đồng Khởi (GĐ 2)</t>
  </si>
  <si>
    <t>Nâng cấp trụ sở UBND xã Hảo Đước</t>
  </si>
  <si>
    <t>Chợ, y tế</t>
  </si>
  <si>
    <t>Trường TH Thị Trấn B huyện Châu Thành</t>
  </si>
  <si>
    <t>Nhà văn hóa DTTS (Khmer) thuộc xã Biên Giới, huyện Châu Thành</t>
  </si>
  <si>
    <t>Biên giới</t>
  </si>
  <si>
    <t>Văn hoá</t>
  </si>
  <si>
    <t>17</t>
  </si>
  <si>
    <t>2024-
2026</t>
  </si>
  <si>
    <t>Sửa chữa nâng cấp đường Võ Thị Sáu (Đoạn KP2)</t>
  </si>
  <si>
    <t>Chiều dài tuyến 686,41m Mặt đường BTN C12.5 rộng 6m;</t>
  </si>
  <si>
    <t>Xây mới nhà lồng chợ, nhà điều hành ban quản lý, nhà vệ sinh, cổng chợ, hệ thống mương thoát nước, đường nội bộ và hệ thống chiếu sáng tổng thể</t>
  </si>
  <si>
    <t>2023-
2025</t>
  </si>
  <si>
    <t>122/QĐ-UBND ngày 21/03/2024</t>
  </si>
  <si>
    <t>Sửa chữa chợ khu phố 4 thị trấn Châu Thành</t>
  </si>
  <si>
    <t xml:space="preserve">	- Cải tạo, sửa chữa nhà lòng chợ
   + Sơn mặt trong, mặt ngoài nhà lòng chợ.
	   + Cải tạo kết cấu nhà lòng chợ.
- Xây mới nhà lòng khung thép</t>
  </si>
  <si>
    <t>123/QĐ-UBND ngày 21/03/2024</t>
  </si>
  <si>
    <t>Dài tuyến 0,87 Km, Mặt đường BTN C12.5 dày trung bình 7cm, rộng 6m</t>
  </si>
  <si>
    <t>569/QĐ-UBND ngày 29/12/2023</t>
  </si>
  <si>
    <t>Đường liên xã Thị Trấn - Trí Bình</t>
  </si>
  <si>
    <t>Chiều dài tuyến 588,42m Mặt đường BTN C12.5 rộng 5,5m; Bó vỉa BTXM đá 1x2 0,25mx2 bên; rộng nền 6m. Hệ thống thoát nước dọc tuyến H30,</t>
  </si>
  <si>
    <t>Đường An Bình 6, ấp Thanh An, xã An Bình</t>
  </si>
  <si>
    <t>Đường An Bình 8, ấp Thanh An, xã An Bình</t>
  </si>
  <si>
    <t>Đường Tổ 9 ấp Suối Dộp xã Thái Bình</t>
  </si>
  <si>
    <t>Đường Đ.5 (Đường tổ 12 nhà ông Võ Trung Tuấn) ấp Chòm Dừa xã Đồng Khởi</t>
  </si>
  <si>
    <t>Đường Đ.68 (đường tổ 12, 11) ấp Chòm Dừa xã Đồng Khởi</t>
  </si>
  <si>
    <t>Đường Đ.69 (đường tổ 8, 9) ấp Chòm Dừa xã Đồng Khởi</t>
  </si>
  <si>
    <t>Đường liên ấp Bình Lương - Chòm Dừa ấp Bình Lương xã Đồng Khởi</t>
  </si>
  <si>
    <t>Đường Bình Lương - hãng nước đá - Bàu Muồn xã Đồng Khởi</t>
  </si>
  <si>
    <t>Đường trường TH Bình Lương, Đường Đ.50 cặp văn phòng ấp Bình Lương xã Đồng Khởi</t>
  </si>
  <si>
    <t>Đường tổ 2A ấp Suối Dộp xã Thái Bình</t>
  </si>
  <si>
    <t>Đường Tổ 2A - 2B ấp Bình Long xã Thái Bình</t>
  </si>
  <si>
    <t xml:space="preserve">Hẻm số 6, ấp Thanh An, xã An Bình; MDA: </t>
  </si>
  <si>
    <t>8011579</t>
  </si>
  <si>
    <t>Đường tổ 8, 9 ấp Bàu Sen, xã Hảo Đước</t>
  </si>
  <si>
    <t>8011582</t>
  </si>
  <si>
    <t>8011578</t>
  </si>
  <si>
    <t>8011580</t>
  </si>
  <si>
    <t>Đường Bến Rỗng Phèn, ấp Thanh An, xã An Bình</t>
  </si>
  <si>
    <t>7874717</t>
  </si>
  <si>
    <t>Đường cánh đồng mẫu lớn ấp Trường, xã Hảo Đước</t>
  </si>
  <si>
    <t>Đường An Bình 12-An Bình 11, ấp An Điền, xã An Bình</t>
  </si>
  <si>
    <t>Đường trung tâm ấp Bình Lợi, xã Hảo Đước</t>
  </si>
  <si>
    <t>Đường An Bình 5, hẻm 10, ấp An Hòa, xã An Bình</t>
  </si>
  <si>
    <t>8003062</t>
  </si>
  <si>
    <t>Nâng cấp, cải tạo Trạm Y tế xã Hảo Đước</t>
  </si>
  <si>
    <t>Đường tổ 8-5 khu phố 4 thị trấn Châu Thành; MDA: 7989027</t>
  </si>
  <si>
    <t>Nâng cấp đường tổ 5 đến tổ 12 ấp Suối Dộp xã Thái Bình</t>
  </si>
  <si>
    <t>Hệ thống PCCC Trường Mẫu giáo Đồng Khởi.</t>
  </si>
  <si>
    <t>Xã Đồng Khởi</t>
  </si>
  <si>
    <t>8053308</t>
  </si>
  <si>
    <t>Xây mới hồ nước PCCC; Xây mới hệ thống PCCC; Trang thiết bị PCCC.</t>
  </si>
  <si>
    <t>241/QĐ-UBND ngày 27/6/2024</t>
  </si>
  <si>
    <t>Hệ thống PCCC Trường Mẫu giáo Biên Giới.</t>
  </si>
  <si>
    <t>Xã Biên Giới</t>
  </si>
  <si>
    <t>239/QĐ-UBND ngày 27/6/2024</t>
  </si>
  <si>
    <t>Hệ thống PCCC Trường Mẫu giáo An Bình.</t>
  </si>
  <si>
    <t>238/QĐ-UBND ngày 27/6/2024</t>
  </si>
  <si>
    <t>Hệ thống PCCC Trường Mẫu giáo Thanh Điền cơ sở 1.</t>
  </si>
  <si>
    <t>8038219</t>
  </si>
  <si>
    <t>240/QĐ-UBND ngày 27/6/2024</t>
  </si>
  <si>
    <t>Hệ thống PCCC Trường THCS Võ Văn Truyện</t>
  </si>
  <si>
    <t xml:space="preserve">Hệ thống pccc </t>
  </si>
  <si>
    <t>260/QĐ-UBND ngày 04/07/2024</t>
  </si>
  <si>
    <t>Xây mới nhà khách BCHQS huyện Châu Thành</t>
  </si>
  <si>
    <t>8080066</t>
  </si>
  <si>
    <t>Xây mới nhà khách</t>
  </si>
  <si>
    <t>235/QĐ-UBND ngày 25/6/2024</t>
  </si>
  <si>
    <t>BTXM  Hẻm 3 - QL22B ấp Thanh Phước xã Thanh Điền</t>
  </si>
  <si>
    <t>8077744</t>
  </si>
  <si>
    <t>Dài 520m; mặt đường BTXM rộng 4,0m</t>
  </si>
  <si>
    <t>124/QĐ-UBND ngày 21/3/2024</t>
  </si>
  <si>
    <t>Xây dựng kho để vật chất của Đại đội bộ binh 40 Ban chỉ huy quân sự huyện</t>
  </si>
  <si>
    <t>BCHQS huyện</t>
  </si>
  <si>
    <t>Xây mới</t>
  </si>
  <si>
    <t>579/QĐ-UBND ngày 2912/2024</t>
  </si>
  <si>
    <t>Cải tạo sửa chữa cổng, hàng rào xung quanh doanh trại Đại đội bộ binh 40</t>
  </si>
  <si>
    <t xml:space="preserve">Cải tạo sửa chữa </t>
  </si>
  <si>
    <t>259/QĐ-UBND ngày 04/07/2024</t>
  </si>
  <si>
    <t>BÁO CÁO TÌNH HÌNH THỰC HIỆN KẾ HOẠCH VỐN ĐẦU TƯ CÔNG NĂM 2024</t>
  </si>
  <si>
    <t>Ước khối lượng từ đầu năm đến hết 31/12/2024</t>
  </si>
  <si>
    <t xml:space="preserve">Ước giải ngân từ đầu năm đến hết 31/01/2025 (bao gồm thời gian chỉnh lý) </t>
  </si>
  <si>
    <r>
      <t>Dài 713m, Đắp bù sỏi đỏ rộng 6m đến cao độ thiết kế, lu lèn đạt độ chặt k</t>
    </r>
    <r>
      <rPr>
        <sz val="12"/>
        <color rgb="FFFF0000"/>
        <rFont val="Calibri"/>
        <family val="2"/>
      </rPr>
      <t>≥0,98</t>
    </r>
  </si>
  <si>
    <r>
      <t xml:space="preserve">Dài 406m,  Đắp bù sỏi đỏ rộng 5m, lu lèn đạt độ chặt k≥0,98; bổ sung 01 cống thoát nước ngang </t>
    </r>
    <r>
      <rPr>
        <sz val="12"/>
        <color rgb="FFFF0000"/>
        <rFont val="Calibri"/>
        <family val="2"/>
      </rPr>
      <t>Ȼ</t>
    </r>
    <r>
      <rPr>
        <sz val="12"/>
        <color rgb="FFFF0000"/>
        <rFont val="Times New Roman"/>
        <family val="1"/>
      </rPr>
      <t>60 dài 7m tại Km0+304,4 trên đường lô 2 ấp Hiệp Bình.</t>
    </r>
  </si>
  <si>
    <t>Đường tổ 4, 9 ấp Bàu Sen, xã Hảo Đước</t>
  </si>
  <si>
    <t>(Từ ngày 01/01/2024 đến ngày 30/11/2024)</t>
  </si>
  <si>
    <t>(Kèm theo Báo cáo số:      /BC-UBND  ngày         tháng 12  năm 2024 của Ủy ban nhân dân huyện Châu Thành)</t>
  </si>
</sst>
</file>

<file path=xl/styles.xml><?xml version="1.0" encoding="utf-8"?>
<styleSheet xmlns="http://schemas.openxmlformats.org/spreadsheetml/2006/main" xmlns:mc="http://schemas.openxmlformats.org/markup-compatibility/2006" xmlns:x14ac="http://schemas.microsoft.com/office/spreadsheetml/2009/9/ac" mc:Ignorable="x14ac">
  <numFmts count="5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_(* \(#,##0\);_(* &quot;-&quot;??_);_(@_)"/>
    <numFmt numFmtId="167" formatCode="_(* #,##0.000_);_(* \(#,##0.000\);_(* &quot;-&quot;??_);_(@_)"/>
    <numFmt numFmtId="168" formatCode="_(* #,##0.0000_);_(* \(#,##0.0000\);_(* &quot;-&quot;??_);_(@_)"/>
    <numFmt numFmtId="169" formatCode="0.0"/>
    <numFmt numFmtId="170" formatCode="_-* #,##0.00\ _p_t_a_-;\-* #,##0.00\ _p_t_a_-;_-* &quot;-&quot;??\ _p_t_a_-;_-@_-"/>
    <numFmt numFmtId="171" formatCode="_-&quot;$&quot;* #,##0_-;\-&quot;$&quot;* #,##0_-;_-&quot;$&quot;* &quot;-&quot;_-;_-@_-"/>
    <numFmt numFmtId="172" formatCode="&quot;\&quot;#,##0.00;[Red]&quot;\&quot;&quot;\&quot;&quot;\&quot;&quot;\&quot;&quot;\&quot;&quot;\&quot;\-#,##0.00"/>
    <numFmt numFmtId="173" formatCode="&quot;\&quot;#,##0;[Red]&quot;\&quot;&quot;\&quot;\-#,##0"/>
    <numFmt numFmtId="174" formatCode="_(&quot;$&quot;* #,##0.0000_);_(&quot;$&quot;* \(#,##0.0000\);_(&quot;$&quot;* &quot;-&quot;??_);_(@_)"/>
    <numFmt numFmtId="175" formatCode="_ * #,##0_ ;_ * \-#,##0_ ;_ * &quot;-&quot;_ ;_ @_ "/>
    <numFmt numFmtId="176" formatCode="_-* #&quot;,&quot;##0_-;\-* #&quot;,&quot;##0_-;_-* &quot;-&quot;_-;_-@_-"/>
    <numFmt numFmtId="177" formatCode="_-* ###&quot;,&quot;0&quot;.&quot;00_-;\-* ###&quot;,&quot;0&quot;.&quot;00_-;_-* &quot;-&quot;??_-;_-@_-"/>
    <numFmt numFmtId="178" formatCode="&quot;$&quot;#,##0;[Red]\-&quot;$&quot;#,##0"/>
    <numFmt numFmtId="179" formatCode="_-* #,##0.00_-;\-* #,##0.00_-;_-* &quot;-&quot;??_-;_-@_-"/>
    <numFmt numFmtId="180" formatCode="_-* #,##0.00\ _F_-;\-* #,##0.00\ _F_-;_-* &quot;-&quot;??\ _F_-;_-@_-"/>
    <numFmt numFmtId="181" formatCode="_-* #,##0_-;\-* #,##0_-;_-* &quot;-&quot;_-;_-@_-"/>
    <numFmt numFmtId="182" formatCode="_(&quot;$&quot;\ * #,##0_);_(&quot;$&quot;\ * \(#,##0\);_(&quot;$&quot;\ * &quot;-&quot;_);_(@_)"/>
    <numFmt numFmtId="183" formatCode="_-* #,##0\ &quot;F&quot;_-;\-* #,##0\ &quot;F&quot;_-;_-* &quot;-&quot;\ &quot;F&quot;_-;_-@_-"/>
    <numFmt numFmtId="184" formatCode="_-* #,##0\ _F_-;\-* #,##0\ _F_-;_-* &quot;-&quot;\ _F_-;_-@_-"/>
    <numFmt numFmtId="185" formatCode="_ * #,##0.00_)\ &quot;F&quot;_ ;_ * \(#,##0.00\)\ &quot;F&quot;_ ;_ * &quot;-&quot;??_)\ &quot;F&quot;_ ;_ @_ "/>
    <numFmt numFmtId="186" formatCode="&quot;SFr.&quot;\ #,##0.00;&quot;SFr.&quot;\ \-#,##0.00"/>
    <numFmt numFmtId="187" formatCode="&quot;SFr.&quot;\ #,##0.00;[Red]&quot;SFr.&quot;\ \-#,##0.00"/>
    <numFmt numFmtId="188" formatCode="_ * #,##0.00_)\ _$_ ;_ * \(#,##0.00\)\ _$_ ;_ * &quot;-&quot;??_)\ _$_ ;_ @_ "/>
    <numFmt numFmtId="189" formatCode="0.000"/>
    <numFmt numFmtId="190" formatCode="_ * #,##0.00_ ;_ * \-#,##0.00_ ;_ * &quot;-&quot;??_ ;_ @_ "/>
    <numFmt numFmtId="191" formatCode="_-* #,##0.00\ &quot;F&quot;_-;\-* #,##0.00\ &quot;F&quot;_-;_-* &quot;-&quot;??\ &quot;F&quot;_-;_-@_-"/>
    <numFmt numFmtId="192" formatCode="\$#,##0\ ;\(\$#,##0\)"/>
    <numFmt numFmtId="193" formatCode="_-[$€-2]* #&quot;,&quot;##0.00_-;\-[$€-2]* #&quot;,&quot;##0.00_-;_-[$€-2]* &quot;-&quot;??_-"/>
    <numFmt numFmtId="194" formatCode="_(* #,##0.000000_);_(* \(#,##0.000000\);_(* &quot;-&quot;??_);_(@_)"/>
    <numFmt numFmtId="195" formatCode="#&quot;,&quot;##0\ &quot;$&quot;_);[Red]\(#&quot;,&quot;##0\ &quot;$&quot;\)"/>
    <numFmt numFmtId="196" formatCode="_-* #&quot;,&quot;##0\ &quot;kr&quot;_-;\-* #&quot;,&quot;##0\ &quot;kr&quot;_-;_-* &quot;-&quot;\ &quot;kr&quot;_-;_-@_-"/>
    <numFmt numFmtId="197" formatCode="_-* #&quot;,&quot;##0.00_-;\-* #&quot;,&quot;##0.00_-;_-* &quot;-&quot;??_-;_-@_-"/>
    <numFmt numFmtId="198" formatCode="#,##0.00\ &quot;F&quot;;[Red]\-#,##0.00\ &quot;F&quot;"/>
    <numFmt numFmtId="199" formatCode="#&quot;,&quot;##0.00\ &quot;F&quot;;[Red]\-#&quot;,&quot;##0.00\ &quot;F&quot;"/>
    <numFmt numFmtId="200" formatCode="###,0&quot;.&quot;00\ &quot;F&quot;;[Red]\-###,0&quot;.&quot;00\ &quot;F&quot;"/>
    <numFmt numFmtId="201" formatCode="_-* #,##0\ _F_-;\-* #,##0\ _F_-;_-* &quot;-&quot;??\ _F_-;_-@_-"/>
    <numFmt numFmtId="202" formatCode="0.000\ "/>
    <numFmt numFmtId="203" formatCode="#&quot;,&quot;##0\ &quot;Lt&quot;;[Red]\-#&quot;,&quot;##0\ &quot;Lt&quot;"/>
    <numFmt numFmtId="204" formatCode="#,##0\ &quot;F&quot;;[Red]\-#,##0\ &quot;F&quot;"/>
    <numFmt numFmtId="205" formatCode="#,##0.00\ &quot;F&quot;;\-#,##0.00\ &quot;F&quot;"/>
    <numFmt numFmtId="206" formatCode="&quot;\&quot;#,##0.00;[Red]&quot;\&quot;\-#,##0.00"/>
    <numFmt numFmtId="207" formatCode="&quot;\&quot;#,##0;[Red]&quot;\&quot;\-#,##0"/>
    <numFmt numFmtId="208" formatCode="_-&quot;$&quot;* #&quot;,&quot;##0_-;\-&quot;$&quot;* #&quot;,&quot;##0_-;_-&quot;$&quot;* &quot;-&quot;_-;_-@_-"/>
    <numFmt numFmtId="209" formatCode="&quot;$&quot;#&quot;,&quot;##0;[Red]\-&quot;$&quot;#&quot;,&quot;##0"/>
    <numFmt numFmtId="210" formatCode="_-&quot;$&quot;* #&quot;,&quot;##0.00_-;\-&quot;$&quot;* #&quot;,&quot;##0.00_-;_-&quot;$&quot;* &quot;-&quot;??_-;_-@_-"/>
    <numFmt numFmtId="211" formatCode="_(* #.##0.00_);_(* \(#.##0.00\);_(* &quot;-&quot;??_);_(@_)"/>
    <numFmt numFmtId="212" formatCode="000"/>
    <numFmt numFmtId="213" formatCode="0.0%"/>
    <numFmt numFmtId="214" formatCode="#,##0.0"/>
    <numFmt numFmtId="215" formatCode="#,##0.000"/>
  </numFmts>
  <fonts count="106">
    <font>
      <sz val="11"/>
      <color theme="1"/>
      <name val="Calibri"/>
      <family val="2"/>
      <scheme val="minor"/>
    </font>
    <font>
      <sz val="11"/>
      <color indexed="8"/>
      <name val="Calibri"/>
      <family val="2"/>
    </font>
    <font>
      <sz val="10"/>
      <name val="Arial"/>
      <family val="2"/>
    </font>
    <font>
      <sz val="8"/>
      <name val="Arial"/>
      <family val="2"/>
    </font>
    <font>
      <sz val="12"/>
      <name val="Times New Roman"/>
      <family val="1"/>
    </font>
    <font>
      <sz val="11"/>
      <color indexed="8"/>
      <name val="Calibri"/>
      <family val="2"/>
    </font>
    <font>
      <sz val="10"/>
      <name val="Arial"/>
      <family val="2"/>
    </font>
    <font>
      <sz val="12"/>
      <name val="Arial"/>
      <family val="2"/>
    </font>
    <font>
      <sz val="10"/>
      <name val="VNI-Times"/>
    </font>
    <font>
      <sz val="10"/>
      <name val="Times New Roman"/>
      <family val="1"/>
    </font>
    <font>
      <b/>
      <sz val="12"/>
      <name val="Arial"/>
      <family val="2"/>
    </font>
    <font>
      <sz val="10"/>
      <color indexed="8"/>
      <name val="Arial"/>
      <family val="2"/>
    </font>
    <font>
      <sz val="10"/>
      <name val="Arial"/>
      <family val="2"/>
      <charset val="163"/>
    </font>
    <font>
      <sz val="11"/>
      <color indexed="8"/>
      <name val="Arial"/>
      <family val="2"/>
    </font>
    <font>
      <sz val="12"/>
      <name val="VNI-Times"/>
    </font>
    <font>
      <sz val="12"/>
      <name val=".VnTime"/>
      <family val="2"/>
    </font>
    <font>
      <sz val="10"/>
      <name val="?? ??"/>
      <family val="1"/>
      <charset val="136"/>
    </font>
    <font>
      <sz val="10"/>
      <name val=".VnArial"/>
      <family val="2"/>
    </font>
    <font>
      <sz val="12"/>
      <name val="????"/>
      <family val="1"/>
      <charset val="136"/>
    </font>
    <font>
      <sz val="12"/>
      <name val="Courier"/>
      <family val="3"/>
    </font>
    <font>
      <sz val="12"/>
      <name val="???"/>
      <family val="1"/>
      <charset val="129"/>
    </font>
    <font>
      <sz val="12"/>
      <name val="|??¢¥¢¬¨Ï"/>
      <family val="1"/>
      <charset val="129"/>
    </font>
    <font>
      <i/>
      <sz val="12"/>
      <name val="VNI-Times"/>
    </font>
    <font>
      <sz val="9"/>
      <name val="‚l‚r –¾’©"/>
      <family val="1"/>
      <charset val="128"/>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¹UAAA¼"/>
      <family val="3"/>
      <charset val="129"/>
    </font>
    <font>
      <sz val="11"/>
      <name val="µ¸¿ò"/>
      <charset val="129"/>
    </font>
    <font>
      <b/>
      <sz val="10"/>
      <name val="Helv"/>
    </font>
    <font>
      <sz val="10"/>
      <name val="VNI-Aptima"/>
    </font>
    <font>
      <sz val="1"/>
      <color indexed="8"/>
      <name val="Courier"/>
      <family val="3"/>
    </font>
    <font>
      <i/>
      <sz val="1"/>
      <color indexed="8"/>
      <name val="Courier"/>
      <family val="3"/>
    </font>
    <font>
      <b/>
      <sz val="12"/>
      <name val="Helv"/>
    </font>
    <font>
      <sz val="10"/>
      <name val="MS Sans Serif"/>
      <family val="2"/>
    </font>
    <font>
      <sz val="10"/>
      <name val="Helv"/>
    </font>
    <font>
      <b/>
      <sz val="11"/>
      <name val="Helv"/>
    </font>
    <font>
      <b/>
      <sz val="12"/>
      <name val="VN-NTime"/>
    </font>
    <font>
      <sz val="11"/>
      <name val="–¾’©"/>
      <family val="1"/>
      <charset val="128"/>
    </font>
    <font>
      <sz val="13"/>
      <name val=".VnTime"/>
      <family val="2"/>
    </font>
    <font>
      <u/>
      <sz val="10"/>
      <color indexed="12"/>
      <name val="VNI-Times"/>
    </font>
    <font>
      <b/>
      <sz val="12"/>
      <name val="VNI-Times"/>
    </font>
    <font>
      <sz val="10"/>
      <name val=".VnAvant"/>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0"/>
      <name val="ＭＳ Ｐ明朝"/>
      <family val="1"/>
      <charset val="128"/>
    </font>
    <font>
      <sz val="12"/>
      <name val="Times New Roman"/>
      <family val="1"/>
      <charset val="163"/>
    </font>
    <font>
      <sz val="11"/>
      <color indexed="8"/>
      <name val="Calibri"/>
      <family val="2"/>
      <charset val="163"/>
    </font>
    <font>
      <sz val="11"/>
      <color indexed="8"/>
      <name val="Calibri"/>
      <family val="2"/>
    </font>
    <font>
      <sz val="10"/>
      <name val="Arial"/>
      <family val="2"/>
    </font>
    <font>
      <sz val="1"/>
      <color indexed="8"/>
      <name val="Courier"/>
      <family val="3"/>
    </font>
    <font>
      <i/>
      <sz val="1"/>
      <color indexed="8"/>
      <name val="Courier"/>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8"/>
      <name val="Arial"/>
      <family val="2"/>
    </font>
    <font>
      <sz val="10"/>
      <name val="Arial"/>
      <family val="2"/>
      <charset val="204"/>
    </font>
    <font>
      <sz val="10"/>
      <name val="Arial"/>
      <family val="2"/>
    </font>
    <font>
      <sz val="1"/>
      <color indexed="8"/>
      <name val="Courier"/>
      <family val="3"/>
    </font>
    <font>
      <i/>
      <sz val="1"/>
      <color indexed="8"/>
      <name val="Courier"/>
      <family val="3"/>
    </font>
    <font>
      <sz val="11"/>
      <color theme="1"/>
      <name val="Calibri"/>
      <family val="2"/>
      <scheme val="minor"/>
    </font>
    <font>
      <sz val="12"/>
      <color rgb="FFFF0000"/>
      <name val="Times New Roman"/>
      <family val="1"/>
    </font>
    <font>
      <b/>
      <sz val="12"/>
      <name val="Times New Roman"/>
      <family val="1"/>
    </font>
    <font>
      <i/>
      <sz val="12"/>
      <name val="Times New Roman"/>
      <family val="1"/>
    </font>
    <font>
      <b/>
      <u/>
      <sz val="12"/>
      <name val="Times New Roman"/>
      <family val="1"/>
    </font>
    <font>
      <b/>
      <i/>
      <sz val="12"/>
      <name val="Times New Roman"/>
      <family val="1"/>
    </font>
    <font>
      <b/>
      <sz val="10"/>
      <name val="Times New Roman"/>
      <family val="1"/>
    </font>
    <font>
      <i/>
      <sz val="10"/>
      <name val="Times New Roman"/>
      <family val="1"/>
    </font>
    <font>
      <sz val="13"/>
      <name val="Times New Roman"/>
      <family val="1"/>
    </font>
    <font>
      <sz val="11"/>
      <name val="Times New Roman"/>
      <family val="1"/>
    </font>
    <font>
      <sz val="10"/>
      <color rgb="FFFF0000"/>
      <name val="Times New Roman"/>
      <family val="1"/>
    </font>
    <font>
      <b/>
      <sz val="12"/>
      <color rgb="FFFF0000"/>
      <name val="Times New Roman"/>
      <family val="1"/>
    </font>
    <font>
      <b/>
      <sz val="9"/>
      <color indexed="81"/>
      <name val="Tahoma"/>
      <family val="2"/>
    </font>
    <font>
      <sz val="13"/>
      <color rgb="FFFF0000"/>
      <name val="Times New Roman"/>
      <family val="1"/>
    </font>
    <font>
      <b/>
      <sz val="11"/>
      <name val="Times New Roman"/>
      <family val="1"/>
    </font>
    <font>
      <b/>
      <sz val="13"/>
      <name val="Times New Roman"/>
      <family val="1"/>
    </font>
    <font>
      <b/>
      <sz val="14"/>
      <name val="Times New Roman"/>
      <family val="1"/>
    </font>
    <font>
      <sz val="14"/>
      <name val="Times New Roman"/>
      <family val="1"/>
    </font>
    <font>
      <sz val="12"/>
      <color theme="1"/>
      <name val="Times New Roman"/>
      <family val="1"/>
    </font>
    <font>
      <b/>
      <sz val="11"/>
      <color theme="1"/>
      <name val="Times New Roman"/>
      <family val="1"/>
    </font>
    <font>
      <b/>
      <sz val="12"/>
      <color theme="1"/>
      <name val="Times New Roman"/>
      <family val="1"/>
    </font>
    <font>
      <b/>
      <sz val="13"/>
      <color theme="1"/>
      <name val="Times New Roman"/>
      <family val="1"/>
    </font>
    <font>
      <i/>
      <sz val="12"/>
      <color rgb="FFFF0000"/>
      <name val="Times New Roman"/>
      <family val="1"/>
    </font>
    <font>
      <i/>
      <sz val="12"/>
      <color theme="1"/>
      <name val="Times New Roman"/>
      <family val="1"/>
    </font>
    <font>
      <i/>
      <sz val="11"/>
      <color theme="1"/>
      <name val="Times New Roman"/>
      <family val="1"/>
    </font>
    <font>
      <sz val="11"/>
      <color rgb="FFFF0000"/>
      <name val="Times New Roman"/>
      <family val="1"/>
    </font>
    <font>
      <b/>
      <i/>
      <sz val="12"/>
      <color theme="1"/>
      <name val="Times New Roman"/>
      <family val="1"/>
    </font>
    <font>
      <sz val="12"/>
      <color rgb="FFFF0000"/>
      <name val="Calibri"/>
      <family val="2"/>
    </font>
  </fonts>
  <fills count="27">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804">
    <xf numFmtId="0" fontId="0" fillId="0" borderId="0"/>
    <xf numFmtId="171" fontId="14" fillId="0" borderId="0" applyFont="0" applyFill="0" applyBorder="0" applyAlignment="0" applyProtection="0"/>
    <xf numFmtId="0" fontId="15" fillId="0" borderId="0" applyNumberFormat="0" applyFill="0" applyBorder="0" applyAlignment="0" applyProtection="0"/>
    <xf numFmtId="172" fontId="6" fillId="0" borderId="0" applyFont="0" applyFill="0" applyBorder="0" applyAlignment="0" applyProtection="0"/>
    <xf numFmtId="0" fontId="16" fillId="0" borderId="0" applyFont="0" applyFill="0" applyBorder="0" applyAlignment="0" applyProtection="0"/>
    <xf numFmtId="173" fontId="6"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0" fontId="2" fillId="0" borderId="0" applyNumberFormat="0" applyFill="0" applyBorder="0" applyAlignment="0" applyProtection="0"/>
    <xf numFmtId="0" fontId="6" fillId="0" borderId="0" applyNumberFormat="0" applyFill="0" applyBorder="0" applyAlignment="0" applyProtection="0"/>
    <xf numFmtId="174" fontId="8" fillId="0" borderId="0" applyFont="0" applyFill="0" applyBorder="0" applyAlignment="0" applyProtection="0"/>
    <xf numFmtId="175" fontId="17" fillId="0" borderId="0" applyFont="0" applyFill="0" applyBorder="0" applyAlignment="0" applyProtection="0"/>
    <xf numFmtId="176" fontId="18" fillId="0" borderId="0" applyFont="0" applyFill="0" applyBorder="0" applyAlignment="0" applyProtection="0"/>
    <xf numFmtId="177" fontId="18" fillId="0" borderId="0" applyFont="0" applyFill="0" applyBorder="0" applyAlignment="0" applyProtection="0"/>
    <xf numFmtId="178" fontId="19" fillId="0" borderId="0" applyFont="0" applyFill="0" applyBorder="0" applyAlignment="0" applyProtection="0"/>
    <xf numFmtId="0" fontId="20"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21" fillId="0" borderId="0"/>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2" fontId="8" fillId="0" borderId="0" applyFont="0" applyFill="0" applyBorder="0" applyAlignment="0" applyProtection="0"/>
    <xf numFmtId="171" fontId="14" fillId="0" borderId="0" applyFont="0" applyFill="0" applyBorder="0" applyAlignment="0" applyProtection="0"/>
    <xf numFmtId="179" fontId="14" fillId="0" borderId="0" applyFont="0" applyFill="0" applyBorder="0" applyAlignment="0" applyProtection="0"/>
    <xf numFmtId="165" fontId="8" fillId="0" borderId="0" applyFont="0" applyFill="0" applyBorder="0" applyAlignment="0" applyProtection="0"/>
    <xf numFmtId="180" fontId="8" fillId="0" borderId="0" applyFont="0" applyFill="0" applyBorder="0" applyAlignment="0" applyProtection="0"/>
    <xf numFmtId="181" fontId="14" fillId="0" borderId="0" applyFont="0" applyFill="0" applyBorder="0" applyAlignment="0" applyProtection="0"/>
    <xf numFmtId="42" fontId="8" fillId="0" borderId="0" applyFont="0" applyFill="0" applyBorder="0" applyAlignment="0" applyProtection="0"/>
    <xf numFmtId="182" fontId="8" fillId="0" borderId="0" applyFont="0" applyFill="0" applyBorder="0" applyAlignment="0" applyProtection="0"/>
    <xf numFmtId="183" fontId="14" fillId="0" borderId="0" applyFont="0" applyFill="0" applyBorder="0" applyAlignment="0" applyProtection="0"/>
    <xf numFmtId="183" fontId="8" fillId="0" borderId="0" applyFont="0" applyFill="0" applyBorder="0" applyAlignment="0" applyProtection="0"/>
    <xf numFmtId="165" fontId="8" fillId="0" borderId="0" applyFont="0" applyFill="0" applyBorder="0" applyAlignment="0" applyProtection="0"/>
    <xf numFmtId="180" fontId="8" fillId="0" borderId="0" applyFont="0" applyFill="0" applyBorder="0" applyAlignment="0" applyProtection="0"/>
    <xf numFmtId="179" fontId="14" fillId="0" borderId="0" applyFont="0" applyFill="0" applyBorder="0" applyAlignment="0" applyProtection="0"/>
    <xf numFmtId="164" fontId="8" fillId="0" borderId="0" applyFont="0" applyFill="0" applyBorder="0" applyAlignment="0" applyProtection="0"/>
    <xf numFmtId="184" fontId="8" fillId="0" borderId="0" applyFont="0" applyFill="0" applyBorder="0" applyAlignment="0" applyProtection="0"/>
    <xf numFmtId="182" fontId="8" fillId="0" borderId="0" applyFont="0" applyFill="0" applyBorder="0" applyAlignment="0" applyProtection="0"/>
    <xf numFmtId="183" fontId="14" fillId="0" borderId="0" applyFont="0" applyFill="0" applyBorder="0" applyAlignment="0" applyProtection="0"/>
    <xf numFmtId="183" fontId="8" fillId="0" borderId="0" applyFont="0" applyFill="0" applyBorder="0" applyAlignment="0" applyProtection="0"/>
    <xf numFmtId="181" fontId="14" fillId="0" borderId="0" applyFont="0" applyFill="0" applyBorder="0" applyAlignment="0" applyProtection="0"/>
    <xf numFmtId="179" fontId="14" fillId="0" borderId="0" applyFont="0" applyFill="0" applyBorder="0" applyAlignment="0" applyProtection="0"/>
    <xf numFmtId="164" fontId="8" fillId="0" borderId="0" applyFont="0" applyFill="0" applyBorder="0" applyAlignment="0" applyProtection="0"/>
    <xf numFmtId="184" fontId="8" fillId="0" borderId="0" applyFont="0" applyFill="0" applyBorder="0" applyAlignment="0" applyProtection="0"/>
    <xf numFmtId="165" fontId="8" fillId="0" borderId="0" applyFont="0" applyFill="0" applyBorder="0" applyAlignment="0" applyProtection="0"/>
    <xf numFmtId="180" fontId="8" fillId="0" borderId="0" applyFont="0" applyFill="0" applyBorder="0" applyAlignment="0" applyProtection="0"/>
    <xf numFmtId="181" fontId="14" fillId="0" borderId="0" applyFont="0" applyFill="0" applyBorder="0" applyAlignment="0" applyProtection="0"/>
    <xf numFmtId="171" fontId="14" fillId="0" borderId="0" applyFont="0" applyFill="0" applyBorder="0" applyAlignment="0" applyProtection="0"/>
    <xf numFmtId="182" fontId="8" fillId="0" borderId="0" applyFont="0" applyFill="0" applyBorder="0" applyAlignment="0" applyProtection="0"/>
    <xf numFmtId="183" fontId="14" fillId="0" borderId="0" applyFont="0" applyFill="0" applyBorder="0" applyAlignment="0" applyProtection="0"/>
    <xf numFmtId="183" fontId="8" fillId="0" borderId="0" applyFont="0" applyFill="0" applyBorder="0" applyAlignment="0" applyProtection="0"/>
    <xf numFmtId="181" fontId="14" fillId="0" borderId="0" applyFont="0" applyFill="0" applyBorder="0" applyAlignment="0" applyProtection="0"/>
    <xf numFmtId="164" fontId="8" fillId="0" borderId="0" applyFont="0" applyFill="0" applyBorder="0" applyAlignment="0" applyProtection="0"/>
    <xf numFmtId="184" fontId="8" fillId="0" borderId="0" applyFont="0" applyFill="0" applyBorder="0" applyAlignment="0" applyProtection="0"/>
    <xf numFmtId="165" fontId="8" fillId="0" borderId="0" applyFont="0" applyFill="0" applyBorder="0" applyAlignment="0" applyProtection="0"/>
    <xf numFmtId="180" fontId="8" fillId="0" borderId="0" applyFont="0" applyFill="0" applyBorder="0" applyAlignment="0" applyProtection="0"/>
    <xf numFmtId="171" fontId="14" fillId="0" borderId="0" applyFont="0" applyFill="0" applyBorder="0" applyAlignment="0" applyProtection="0"/>
    <xf numFmtId="179" fontId="14" fillId="0" borderId="0" applyFont="0" applyFill="0" applyBorder="0" applyAlignment="0" applyProtection="0"/>
    <xf numFmtId="179" fontId="22" fillId="0" borderId="0"/>
    <xf numFmtId="43" fontId="22" fillId="0" borderId="0"/>
    <xf numFmtId="0" fontId="6" fillId="0" borderId="0"/>
    <xf numFmtId="0" fontId="23" fillId="0" borderId="0"/>
    <xf numFmtId="0" fontId="6" fillId="0" borderId="0"/>
    <xf numFmtId="0" fontId="24" fillId="2" borderId="0"/>
    <xf numFmtId="9" fontId="25" fillId="0" borderId="0" applyFont="0" applyFill="0" applyBorder="0" applyAlignment="0" applyProtection="0"/>
    <xf numFmtId="0" fontId="26" fillId="2"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27" fillId="2" borderId="0"/>
    <xf numFmtId="0" fontId="28" fillId="0" borderId="0">
      <alignment wrapText="1"/>
    </xf>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29" fillId="0" borderId="0"/>
    <xf numFmtId="0" fontId="60" fillId="13" borderId="0" applyNumberFormat="0" applyBorder="0" applyAlignment="0" applyProtection="0"/>
    <xf numFmtId="0" fontId="60" fillId="10" borderId="0" applyNumberFormat="0" applyBorder="0" applyAlignment="0" applyProtection="0"/>
    <xf numFmtId="0" fontId="60" fillId="11"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20" borderId="0" applyNumberFormat="0" applyBorder="0" applyAlignment="0" applyProtection="0"/>
    <xf numFmtId="0" fontId="3" fillId="0" borderId="0" applyNumberFormat="0" applyAlignment="0"/>
    <xf numFmtId="185" fontId="6" fillId="0" borderId="0" applyFont="0" applyFill="0" applyBorder="0" applyAlignment="0" applyProtection="0"/>
    <xf numFmtId="0" fontId="30" fillId="0" borderId="0" applyFont="0" applyFill="0" applyBorder="0" applyAlignment="0" applyProtection="0"/>
    <xf numFmtId="186" fontId="14" fillId="0" borderId="0" applyFont="0" applyFill="0" applyBorder="0" applyAlignment="0" applyProtection="0"/>
    <xf numFmtId="169" fontId="6" fillId="0" borderId="0" applyFont="0" applyFill="0" applyBorder="0" applyAlignment="0" applyProtection="0"/>
    <xf numFmtId="0" fontId="30" fillId="0" borderId="0" applyFont="0" applyFill="0" applyBorder="0" applyAlignment="0" applyProtection="0"/>
    <xf numFmtId="187" fontId="14" fillId="0" borderId="0" applyFont="0" applyFill="0" applyBorder="0" applyAlignment="0" applyProtection="0"/>
    <xf numFmtId="188" fontId="6" fillId="0" borderId="0" applyFont="0" applyFill="0" applyBorder="0" applyAlignment="0" applyProtection="0"/>
    <xf numFmtId="0" fontId="30" fillId="0" borderId="0" applyFont="0" applyFill="0" applyBorder="0" applyAlignment="0" applyProtection="0"/>
    <xf numFmtId="175" fontId="25" fillId="0" borderId="0" applyFont="0" applyFill="0" applyBorder="0" applyAlignment="0" applyProtection="0"/>
    <xf numFmtId="189" fontId="6" fillId="0" borderId="0" applyFont="0" applyFill="0" applyBorder="0" applyAlignment="0" applyProtection="0"/>
    <xf numFmtId="0" fontId="30" fillId="0" borderId="0" applyFont="0" applyFill="0" applyBorder="0" applyAlignment="0" applyProtection="0"/>
    <xf numFmtId="190" fontId="25" fillId="0" borderId="0" applyFont="0" applyFill="0" applyBorder="0" applyAlignment="0" applyProtection="0"/>
    <xf numFmtId="171" fontId="14" fillId="0" borderId="0" applyFont="0" applyFill="0" applyBorder="0" applyAlignment="0" applyProtection="0"/>
    <xf numFmtId="0" fontId="61" fillId="4" borderId="0" applyNumberFormat="0" applyBorder="0" applyAlignment="0" applyProtection="0"/>
    <xf numFmtId="0" fontId="30" fillId="0" borderId="0"/>
    <xf numFmtId="0" fontId="31" fillId="0" borderId="0"/>
    <xf numFmtId="0" fontId="30" fillId="0" borderId="0"/>
    <xf numFmtId="0" fontId="31" fillId="0" borderId="0"/>
    <xf numFmtId="0" fontId="62" fillId="21" borderId="1" applyNumberFormat="0" applyAlignment="0" applyProtection="0"/>
    <xf numFmtId="0" fontId="32" fillId="0" borderId="0"/>
    <xf numFmtId="191" fontId="8" fillId="0" borderId="0" applyFont="0" applyFill="0" applyBorder="0" applyAlignment="0" applyProtection="0"/>
    <xf numFmtId="0" fontId="63" fillId="22" borderId="2" applyNumberFormat="0" applyAlignment="0" applyProtection="0"/>
    <xf numFmtId="1" fontId="33" fillId="0" borderId="3" applyBorder="0"/>
    <xf numFmtId="43" fontId="56" fillId="0" borderId="0" applyFont="0" applyFill="0" applyBorder="0" applyAlignment="0" applyProtection="0"/>
    <xf numFmtId="41" fontId="2"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41" fontId="1"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11" fontId="6"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21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8" fillId="0" borderId="0" applyFont="0" applyFill="0" applyBorder="0" applyAlignment="0" applyProtection="0"/>
    <xf numFmtId="194" fontId="8" fillId="0" borderId="0" applyFont="0" applyFill="0" applyBorder="0" applyAlignment="0" applyProtection="0"/>
    <xf numFmtId="198" fontId="8" fillId="0" borderId="0" applyFont="0" applyFill="0" applyBorder="0" applyAlignment="0" applyProtection="0"/>
    <xf numFmtId="194" fontId="8"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70" fontId="8" fillId="0" borderId="0" applyFont="0" applyFill="0" applyBorder="0" applyAlignment="0" applyProtection="0"/>
    <xf numFmtId="43" fontId="2" fillId="0" borderId="0" applyFont="0" applyFill="0" applyBorder="0" applyAlignment="0" applyProtection="0"/>
    <xf numFmtId="170" fontId="8" fillId="0" borderId="0" applyFont="0" applyFill="0" applyBorder="0" applyAlignment="0" applyProtection="0"/>
    <xf numFmtId="194" fontId="8" fillId="0" borderId="0" applyFont="0" applyFill="0" applyBorder="0" applyAlignment="0" applyProtection="0"/>
    <xf numFmtId="170" fontId="8" fillId="0" borderId="0" applyFont="0" applyFill="0" applyBorder="0" applyAlignment="0" applyProtection="0"/>
    <xf numFmtId="194" fontId="8" fillId="0" borderId="0" applyFont="0" applyFill="0" applyBorder="0" applyAlignment="0" applyProtection="0"/>
    <xf numFmtId="170" fontId="8" fillId="0" borderId="0" applyFont="0" applyFill="0" applyBorder="0" applyAlignment="0" applyProtection="0"/>
    <xf numFmtId="194" fontId="8" fillId="0" borderId="0" applyFont="0" applyFill="0" applyBorder="0" applyAlignment="0" applyProtection="0"/>
    <xf numFmtId="170" fontId="8" fillId="0" borderId="0" applyFont="0" applyFill="0" applyBorder="0" applyAlignment="0" applyProtection="0"/>
    <xf numFmtId="194" fontId="8" fillId="0" borderId="0" applyFont="0" applyFill="0" applyBorder="0" applyAlignment="0" applyProtection="0"/>
    <xf numFmtId="170" fontId="8" fillId="0" borderId="0" applyFont="0" applyFill="0" applyBorder="0" applyAlignment="0" applyProtection="0"/>
    <xf numFmtId="194" fontId="8" fillId="0" borderId="0" applyFont="0" applyFill="0" applyBorder="0" applyAlignment="0" applyProtection="0"/>
    <xf numFmtId="194" fontId="8" fillId="0" borderId="0" applyFont="0" applyFill="0" applyBorder="0" applyAlignment="0" applyProtection="0"/>
    <xf numFmtId="43" fontId="78"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7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74" fillId="0" borderId="0" applyFont="0" applyFill="0" applyBorder="0" applyAlignment="0" applyProtection="0"/>
    <xf numFmtId="165" fontId="54"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7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6"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192" fontId="6"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192" fontId="2" fillId="0" borderId="0" applyFont="0" applyFill="0" applyBorder="0" applyAlignment="0" applyProtection="0"/>
    <xf numFmtId="0" fontId="6"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193" fontId="15" fillId="0" borderId="0" applyFont="0" applyFill="0" applyBorder="0" applyAlignment="0" applyProtection="0"/>
    <xf numFmtId="0" fontId="64" fillId="0" borderId="0" applyNumberFormat="0" applyFill="0" applyBorder="0" applyAlignment="0" applyProtection="0"/>
    <xf numFmtId="0" fontId="34" fillId="0" borderId="0">
      <protection locked="0"/>
    </xf>
    <xf numFmtId="0" fontId="58" fillId="0" borderId="0">
      <protection locked="0"/>
    </xf>
    <xf numFmtId="0" fontId="34" fillId="0" borderId="0">
      <protection locked="0"/>
    </xf>
    <xf numFmtId="0" fontId="76" fillId="0" borderId="0">
      <protection locked="0"/>
    </xf>
    <xf numFmtId="0" fontId="58" fillId="0" borderId="0">
      <protection locked="0"/>
    </xf>
    <xf numFmtId="0" fontId="76" fillId="0" borderId="0">
      <protection locked="0"/>
    </xf>
    <xf numFmtId="0" fontId="34" fillId="0" borderId="0">
      <protection locked="0"/>
    </xf>
    <xf numFmtId="0" fontId="58" fillId="0" borderId="0">
      <protection locked="0"/>
    </xf>
    <xf numFmtId="0" fontId="76" fillId="0" borderId="0">
      <protection locked="0"/>
    </xf>
    <xf numFmtId="0" fontId="34" fillId="0" borderId="0">
      <protection locked="0"/>
    </xf>
    <xf numFmtId="0" fontId="34" fillId="0" borderId="0">
      <protection locked="0"/>
    </xf>
    <xf numFmtId="0" fontId="58" fillId="0" borderId="0">
      <protection locked="0"/>
    </xf>
    <xf numFmtId="0" fontId="34" fillId="0" borderId="0">
      <protection locked="0"/>
    </xf>
    <xf numFmtId="0" fontId="76" fillId="0" borderId="0">
      <protection locked="0"/>
    </xf>
    <xf numFmtId="0" fontId="58" fillId="0" borderId="0">
      <protection locked="0"/>
    </xf>
    <xf numFmtId="0" fontId="76" fillId="0" borderId="0">
      <protection locked="0"/>
    </xf>
    <xf numFmtId="0" fontId="34" fillId="0" borderId="0">
      <protection locked="0"/>
    </xf>
    <xf numFmtId="0" fontId="58" fillId="0" borderId="0">
      <protection locked="0"/>
    </xf>
    <xf numFmtId="0" fontId="76" fillId="0" borderId="0">
      <protection locked="0"/>
    </xf>
    <xf numFmtId="0" fontId="34" fillId="0" borderId="0">
      <protection locked="0"/>
    </xf>
    <xf numFmtId="0" fontId="35" fillId="0" borderId="0">
      <protection locked="0"/>
    </xf>
    <xf numFmtId="0" fontId="59" fillId="0" borderId="0">
      <protection locked="0"/>
    </xf>
    <xf numFmtId="0" fontId="35" fillId="0" borderId="0">
      <protection locked="0"/>
    </xf>
    <xf numFmtId="0" fontId="77" fillId="0" borderId="0">
      <protection locked="0"/>
    </xf>
    <xf numFmtId="0" fontId="59" fillId="0" borderId="0">
      <protection locked="0"/>
    </xf>
    <xf numFmtId="0" fontId="77" fillId="0" borderId="0">
      <protection locked="0"/>
    </xf>
    <xf numFmtId="0" fontId="35" fillId="0" borderId="0">
      <protection locked="0"/>
    </xf>
    <xf numFmtId="0" fontId="59" fillId="0" borderId="0">
      <protection locked="0"/>
    </xf>
    <xf numFmtId="0" fontId="77" fillId="0" borderId="0">
      <protection locked="0"/>
    </xf>
    <xf numFmtId="0" fontId="35" fillId="0" borderId="0">
      <protection locked="0"/>
    </xf>
    <xf numFmtId="0" fontId="34" fillId="0" borderId="0">
      <protection locked="0"/>
    </xf>
    <xf numFmtId="0" fontId="58" fillId="0" borderId="0">
      <protection locked="0"/>
    </xf>
    <xf numFmtId="0" fontId="34" fillId="0" borderId="0">
      <protection locked="0"/>
    </xf>
    <xf numFmtId="0" fontId="76" fillId="0" borderId="0">
      <protection locked="0"/>
    </xf>
    <xf numFmtId="0" fontId="58" fillId="0" borderId="0">
      <protection locked="0"/>
    </xf>
    <xf numFmtId="0" fontId="76" fillId="0" borderId="0">
      <protection locked="0"/>
    </xf>
    <xf numFmtId="0" fontId="34" fillId="0" borderId="0">
      <protection locked="0"/>
    </xf>
    <xf numFmtId="0" fontId="58" fillId="0" borderId="0">
      <protection locked="0"/>
    </xf>
    <xf numFmtId="0" fontId="76" fillId="0" borderId="0">
      <protection locked="0"/>
    </xf>
    <xf numFmtId="0" fontId="34" fillId="0" borderId="0">
      <protection locked="0"/>
    </xf>
    <xf numFmtId="0" fontId="34" fillId="0" borderId="0">
      <protection locked="0"/>
    </xf>
    <xf numFmtId="0" fontId="58" fillId="0" borderId="0">
      <protection locked="0"/>
    </xf>
    <xf numFmtId="0" fontId="34" fillId="0" borderId="0">
      <protection locked="0"/>
    </xf>
    <xf numFmtId="0" fontId="76" fillId="0" borderId="0">
      <protection locked="0"/>
    </xf>
    <xf numFmtId="0" fontId="58" fillId="0" borderId="0">
      <protection locked="0"/>
    </xf>
    <xf numFmtId="0" fontId="76" fillId="0" borderId="0">
      <protection locked="0"/>
    </xf>
    <xf numFmtId="0" fontId="34" fillId="0" borderId="0">
      <protection locked="0"/>
    </xf>
    <xf numFmtId="0" fontId="58" fillId="0" borderId="0">
      <protection locked="0"/>
    </xf>
    <xf numFmtId="0" fontId="76" fillId="0" borderId="0">
      <protection locked="0"/>
    </xf>
    <xf numFmtId="0" fontId="34" fillId="0" borderId="0">
      <protection locked="0"/>
    </xf>
    <xf numFmtId="0" fontId="34" fillId="0" borderId="0">
      <protection locked="0"/>
    </xf>
    <xf numFmtId="0" fontId="58" fillId="0" borderId="0">
      <protection locked="0"/>
    </xf>
    <xf numFmtId="0" fontId="34" fillId="0" borderId="0">
      <protection locked="0"/>
    </xf>
    <xf numFmtId="0" fontId="76" fillId="0" borderId="0">
      <protection locked="0"/>
    </xf>
    <xf numFmtId="0" fontId="58" fillId="0" borderId="0">
      <protection locked="0"/>
    </xf>
    <xf numFmtId="0" fontId="76" fillId="0" borderId="0">
      <protection locked="0"/>
    </xf>
    <xf numFmtId="0" fontId="34" fillId="0" borderId="0">
      <protection locked="0"/>
    </xf>
    <xf numFmtId="0" fontId="58" fillId="0" borderId="0">
      <protection locked="0"/>
    </xf>
    <xf numFmtId="0" fontId="76" fillId="0" borderId="0">
      <protection locked="0"/>
    </xf>
    <xf numFmtId="0" fontId="34" fillId="0" borderId="0">
      <protection locked="0"/>
    </xf>
    <xf numFmtId="0" fontId="35" fillId="0" borderId="0">
      <protection locked="0"/>
    </xf>
    <xf numFmtId="0" fontId="59" fillId="0" borderId="0">
      <protection locked="0"/>
    </xf>
    <xf numFmtId="0" fontId="35" fillId="0" borderId="0">
      <protection locked="0"/>
    </xf>
    <xf numFmtId="0" fontId="77" fillId="0" borderId="0">
      <protection locked="0"/>
    </xf>
    <xf numFmtId="0" fontId="59" fillId="0" borderId="0">
      <protection locked="0"/>
    </xf>
    <xf numFmtId="0" fontId="77" fillId="0" borderId="0">
      <protection locked="0"/>
    </xf>
    <xf numFmtId="0" fontId="35" fillId="0" borderId="0">
      <protection locked="0"/>
    </xf>
    <xf numFmtId="0" fontId="59" fillId="0" borderId="0">
      <protection locked="0"/>
    </xf>
    <xf numFmtId="0" fontId="77" fillId="0" borderId="0">
      <protection locked="0"/>
    </xf>
    <xf numFmtId="0" fontId="35" fillId="0" borderId="0">
      <protection locked="0"/>
    </xf>
    <xf numFmtId="2" fontId="6"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65" fillId="5" borderId="0" applyNumberFormat="0" applyBorder="0" applyAlignment="0" applyProtection="0"/>
    <xf numFmtId="38" fontId="3" fillId="23" borderId="0" applyNumberFormat="0" applyBorder="0" applyAlignment="0" applyProtection="0"/>
    <xf numFmtId="38" fontId="3" fillId="23" borderId="0" applyNumberFormat="0" applyBorder="0" applyAlignment="0" applyProtection="0"/>
    <xf numFmtId="0" fontId="36" fillId="0" borderId="0">
      <alignment horizontal="left"/>
    </xf>
    <xf numFmtId="0" fontId="10" fillId="0" borderId="4" applyNumberFormat="0" applyAlignment="0" applyProtection="0">
      <alignment horizontal="left" vertical="center"/>
    </xf>
    <xf numFmtId="0" fontId="10" fillId="0" borderId="5">
      <alignment horizontal="left" vertical="center"/>
    </xf>
    <xf numFmtId="0" fontId="73" fillId="0" borderId="0" applyNumberFormat="0" applyFill="0" applyBorder="0" applyAlignment="0" applyProtection="0"/>
    <xf numFmtId="0" fontId="10" fillId="0" borderId="0" applyNumberFormat="0" applyFill="0" applyBorder="0" applyAlignment="0" applyProtection="0"/>
    <xf numFmtId="0" fontId="66" fillId="0" borderId="6" applyNumberFormat="0" applyFill="0" applyAlignment="0" applyProtection="0"/>
    <xf numFmtId="0" fontId="66" fillId="0" borderId="0" applyNumberFormat="0" applyFill="0" applyBorder="0" applyAlignment="0" applyProtection="0"/>
    <xf numFmtId="194" fontId="14" fillId="0" borderId="0">
      <protection locked="0"/>
    </xf>
    <xf numFmtId="194" fontId="14" fillId="0" borderId="0">
      <protection locked="0"/>
    </xf>
    <xf numFmtId="184" fontId="8" fillId="0" borderId="0" applyFont="0" applyFill="0" applyBorder="0" applyAlignment="0" applyProtection="0"/>
    <xf numFmtId="10" fontId="3" fillId="23" borderId="7" applyNumberFormat="0" applyBorder="0" applyAlignment="0" applyProtection="0"/>
    <xf numFmtId="10" fontId="3" fillId="23" borderId="7" applyNumberFormat="0" applyBorder="0" applyAlignment="0" applyProtection="0"/>
    <xf numFmtId="0" fontId="67" fillId="8" borderId="1" applyNumberFormat="0" applyAlignment="0" applyProtection="0"/>
    <xf numFmtId="0" fontId="67" fillId="8" borderId="1" applyNumberFormat="0" applyAlignment="0" applyProtection="0"/>
    <xf numFmtId="0" fontId="68" fillId="0" borderId="8" applyNumberFormat="0" applyFill="0" applyAlignment="0" applyProtection="0"/>
    <xf numFmtId="38" fontId="37" fillId="0" borderId="0" applyFont="0" applyFill="0" applyBorder="0" applyAlignment="0" applyProtection="0"/>
    <xf numFmtId="4" fontId="38" fillId="0" borderId="0" applyFont="0" applyFill="0" applyBorder="0" applyAlignment="0" applyProtection="0"/>
    <xf numFmtId="38" fontId="37" fillId="0" borderId="0" applyFont="0" applyFill="0" applyBorder="0" applyAlignment="0" applyProtection="0"/>
    <xf numFmtId="40" fontId="37" fillId="0" borderId="0" applyFont="0" applyFill="0" applyBorder="0" applyAlignment="0" applyProtection="0"/>
    <xf numFmtId="0" fontId="39" fillId="0" borderId="9"/>
    <xf numFmtId="195" fontId="37" fillId="0" borderId="0" applyFont="0" applyFill="0" applyBorder="0" applyAlignment="0" applyProtection="0"/>
    <xf numFmtId="196" fontId="17" fillId="0" borderId="0" applyFont="0" applyFill="0" applyBorder="0" applyAlignment="0" applyProtection="0"/>
    <xf numFmtId="0" fontId="7" fillId="0" borderId="0" applyNumberFormat="0" applyFont="0" applyFill="0" applyAlignment="0"/>
    <xf numFmtId="0" fontId="69" fillId="24" borderId="0" applyNumberFormat="0" applyBorder="0" applyAlignment="0" applyProtection="0"/>
    <xf numFmtId="0" fontId="40" fillId="0" borderId="7" applyNumberFormat="0" applyFont="0" applyFill="0" applyBorder="0" applyAlignment="0">
      <alignment horizontal="center"/>
    </xf>
    <xf numFmtId="0" fontId="6" fillId="0" borderId="0"/>
    <xf numFmtId="0" fontId="2" fillId="0" borderId="0"/>
    <xf numFmtId="0" fontId="2" fillId="0" borderId="0"/>
    <xf numFmtId="0" fontId="57" fillId="0" borderId="0"/>
    <xf numFmtId="0" fontId="75" fillId="0" borderId="0"/>
    <xf numFmtId="0" fontId="2" fillId="0" borderId="0"/>
    <xf numFmtId="0" fontId="57" fillId="0" borderId="0"/>
    <xf numFmtId="0" fontId="75" fillId="0" borderId="0"/>
    <xf numFmtId="0" fontId="2" fillId="0" borderId="0"/>
    <xf numFmtId="0" fontId="57" fillId="0" borderId="0"/>
    <xf numFmtId="0" fontId="75" fillId="0" borderId="0"/>
    <xf numFmtId="0" fontId="2" fillId="0" borderId="0"/>
    <xf numFmtId="0" fontId="2" fillId="0" borderId="0"/>
    <xf numFmtId="0" fontId="2" fillId="0" borderId="0"/>
    <xf numFmtId="0" fontId="2" fillId="0" borderId="0"/>
    <xf numFmtId="0" fontId="2" fillId="0" borderId="0"/>
    <xf numFmtId="0" fontId="78" fillId="0" borderId="0"/>
    <xf numFmtId="0" fontId="74"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1" fillId="0" borderId="0"/>
    <xf numFmtId="0" fontId="4" fillId="0" borderId="0"/>
    <xf numFmtId="0" fontId="78"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8" fillId="0" borderId="0"/>
    <xf numFmtId="0" fontId="14" fillId="0" borderId="0"/>
    <xf numFmtId="0" fontId="7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2" fillId="0" borderId="0"/>
    <xf numFmtId="0" fontId="14" fillId="0" borderId="0"/>
    <xf numFmtId="0" fontId="1" fillId="0" borderId="0"/>
    <xf numFmtId="0" fontId="2" fillId="0" borderId="0"/>
    <xf numFmtId="0" fontId="4" fillId="0" borderId="0"/>
    <xf numFmtId="0" fontId="14"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 fillId="0" borderId="0"/>
    <xf numFmtId="0" fontId="2" fillId="0" borderId="0"/>
    <xf numFmtId="0" fontId="9" fillId="0" borderId="0"/>
    <xf numFmtId="0" fontId="8" fillId="0" borderId="0"/>
    <xf numFmtId="0" fontId="8" fillId="0" borderId="0"/>
    <xf numFmtId="0" fontId="8" fillId="0" borderId="0"/>
    <xf numFmtId="0" fontId="6" fillId="0" borderId="0"/>
    <xf numFmtId="0" fontId="78" fillId="0" borderId="0"/>
    <xf numFmtId="0" fontId="78"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8" fillId="0" borderId="0"/>
    <xf numFmtId="0" fontId="2"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9" fillId="0" borderId="0"/>
    <xf numFmtId="0" fontId="55"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5" fillId="0" borderId="0"/>
    <xf numFmtId="0" fontId="6" fillId="0" borderId="0"/>
    <xf numFmtId="0" fontId="2" fillId="0" borderId="0"/>
    <xf numFmtId="0" fontId="1" fillId="0" borderId="0"/>
    <xf numFmtId="0" fontId="2" fillId="0" borderId="0"/>
    <xf numFmtId="0" fontId="4" fillId="0" borderId="0"/>
    <xf numFmtId="0" fontId="2" fillId="0" borderId="0"/>
    <xf numFmtId="0" fontId="2" fillId="0" borderId="0"/>
    <xf numFmtId="0" fontId="2" fillId="0" borderId="0"/>
    <xf numFmtId="0" fontId="57" fillId="0" borderId="0"/>
    <xf numFmtId="0" fontId="2" fillId="0" borderId="0"/>
    <xf numFmtId="0" fontId="2" fillId="0" borderId="0"/>
    <xf numFmtId="0" fontId="2" fillId="0" borderId="0"/>
    <xf numFmtId="0" fontId="2" fillId="0" borderId="0"/>
    <xf numFmtId="0" fontId="9" fillId="0" borderId="0"/>
    <xf numFmtId="0" fontId="78" fillId="0" borderId="0"/>
    <xf numFmtId="0" fontId="78" fillId="0" borderId="0"/>
    <xf numFmtId="0" fontId="4" fillId="0" borderId="0"/>
    <xf numFmtId="0" fontId="1"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2" fillId="0" borderId="0"/>
    <xf numFmtId="0" fontId="2" fillId="0" borderId="0"/>
    <xf numFmtId="0" fontId="1" fillId="0" borderId="0"/>
    <xf numFmtId="0" fontId="78" fillId="0" borderId="0"/>
    <xf numFmtId="0" fontId="1" fillId="0" borderId="0"/>
    <xf numFmtId="0" fontId="78" fillId="0" borderId="0"/>
    <xf numFmtId="0" fontId="1" fillId="0" borderId="0"/>
    <xf numFmtId="0" fontId="78" fillId="0" borderId="0"/>
    <xf numFmtId="0" fontId="1" fillId="0" borderId="0"/>
    <xf numFmtId="0" fontId="78" fillId="0" borderId="0"/>
    <xf numFmtId="0" fontId="1" fillId="0" borderId="0"/>
    <xf numFmtId="0" fontId="78" fillId="0" borderId="0"/>
    <xf numFmtId="0" fontId="78" fillId="0" borderId="0"/>
    <xf numFmtId="0" fontId="2" fillId="0" borderId="0"/>
    <xf numFmtId="0" fontId="2" fillId="0" borderId="0"/>
    <xf numFmtId="0" fontId="75" fillId="0" borderId="0"/>
    <xf numFmtId="0" fontId="2" fillId="0" borderId="0"/>
    <xf numFmtId="0" fontId="2" fillId="0" borderId="0"/>
    <xf numFmtId="0" fontId="2" fillId="0" borderId="0"/>
    <xf numFmtId="0" fontId="6" fillId="0" borderId="0"/>
    <xf numFmtId="0" fontId="54" fillId="0" borderId="0"/>
    <xf numFmtId="0" fontId="54" fillId="0" borderId="0"/>
    <xf numFmtId="0" fontId="6" fillId="0" borderId="0"/>
    <xf numFmtId="0" fontId="2" fillId="0" borderId="0"/>
    <xf numFmtId="0"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6" fillId="0" borderId="0"/>
    <xf numFmtId="0" fontId="2" fillId="0" borderId="0"/>
    <xf numFmtId="0" fontId="74" fillId="0" borderId="0"/>
    <xf numFmtId="0" fontId="4" fillId="0" borderId="0"/>
    <xf numFmtId="0" fontId="74" fillId="0" borderId="0"/>
    <xf numFmtId="0" fontId="2" fillId="0" borderId="0"/>
    <xf numFmtId="0" fontId="6" fillId="0" borderId="0"/>
    <xf numFmtId="0" fontId="2" fillId="0" borderId="0"/>
    <xf numFmtId="0" fontId="74" fillId="0" borderId="0"/>
    <xf numFmtId="0" fontId="9"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54" fillId="0" borderId="0"/>
    <xf numFmtId="0" fontId="6" fillId="0" borderId="0"/>
    <xf numFmtId="0" fontId="2"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38" fillId="23" borderId="0"/>
    <xf numFmtId="0" fontId="2" fillId="25" borderId="10" applyNumberFormat="0" applyFont="0" applyAlignment="0" applyProtection="0"/>
    <xf numFmtId="197" fontId="41" fillId="0" borderId="0" applyFont="0" applyFill="0" applyBorder="0" applyAlignment="0" applyProtection="0"/>
    <xf numFmtId="176" fontId="41" fillId="0" borderId="0" applyFont="0" applyFill="0" applyBorder="0" applyAlignment="0" applyProtection="0"/>
    <xf numFmtId="0" fontId="42" fillId="0" borderId="0" applyNumberFormat="0" applyFill="0" applyBorder="0" applyAlignment="0" applyProtection="0"/>
    <xf numFmtId="0" fontId="15" fillId="0" borderId="0" applyNumberFormat="0" applyFill="0" applyBorder="0" applyAlignment="0" applyProtection="0"/>
    <xf numFmtId="0" fontId="6" fillId="0" borderId="0" applyFont="0" applyFill="0" applyBorder="0" applyAlignment="0" applyProtection="0"/>
    <xf numFmtId="0" fontId="9" fillId="0" borderId="0"/>
    <xf numFmtId="0" fontId="70" fillId="21" borderId="11" applyNumberFormat="0" applyAlignment="0" applyProtection="0"/>
    <xf numFmtId="10" fontId="6"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57" fillId="0" borderId="0" applyFont="0" applyFill="0" applyBorder="0" applyAlignment="0" applyProtection="0"/>
    <xf numFmtId="10" fontId="75" fillId="0" borderId="0" applyFont="0" applyFill="0" applyBorder="0" applyAlignment="0" applyProtection="0"/>
    <xf numFmtId="10" fontId="2" fillId="0" borderId="0" applyFont="0" applyFill="0" applyBorder="0" applyAlignment="0" applyProtection="0"/>
    <xf numFmtId="10" fontId="57" fillId="0" borderId="0" applyFont="0" applyFill="0" applyBorder="0" applyAlignment="0" applyProtection="0"/>
    <xf numFmtId="10" fontId="75" fillId="0" borderId="0" applyFont="0" applyFill="0" applyBorder="0" applyAlignment="0" applyProtection="0"/>
    <xf numFmtId="10" fontId="2" fillId="0" borderId="0" applyFont="0" applyFill="0" applyBorder="0" applyAlignment="0" applyProtection="0"/>
    <xf numFmtId="10" fontId="57" fillId="0" borderId="0" applyFont="0" applyFill="0" applyBorder="0" applyAlignment="0" applyProtection="0"/>
    <xf numFmtId="10" fontId="75"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7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78"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4" fillId="0" borderId="0" applyFont="0" applyFill="0" applyBorder="0" applyAlignment="0" applyProtection="0"/>
    <xf numFmtId="9" fontId="7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78"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78"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4" fontId="8" fillId="0" borderId="0" applyFon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alignment vertical="top"/>
      <protection locked="0"/>
    </xf>
    <xf numFmtId="0" fontId="15" fillId="0" borderId="12">
      <alignment horizontal="center"/>
    </xf>
    <xf numFmtId="42" fontId="8" fillId="0" borderId="0" applyFont="0" applyFill="0" applyBorder="0" applyAlignment="0" applyProtection="0"/>
    <xf numFmtId="164" fontId="8" fillId="0" borderId="0" applyFont="0" applyFill="0" applyBorder="0" applyAlignment="0" applyProtection="0"/>
    <xf numFmtId="184" fontId="8" fillId="0" borderId="0" applyFont="0" applyFill="0" applyBorder="0" applyAlignment="0" applyProtection="0"/>
    <xf numFmtId="164" fontId="8" fillId="0" borderId="0" applyFont="0" applyFill="0" applyBorder="0" applyAlignment="0" applyProtection="0"/>
    <xf numFmtId="184" fontId="8" fillId="0" borderId="0" applyFont="0" applyFill="0" applyBorder="0" applyAlignment="0" applyProtection="0"/>
    <xf numFmtId="42" fontId="8" fillId="0" borderId="0" applyFont="0" applyFill="0" applyBorder="0" applyAlignment="0" applyProtection="0"/>
    <xf numFmtId="182" fontId="8" fillId="0" borderId="0" applyFont="0" applyFill="0" applyBorder="0" applyAlignment="0" applyProtection="0"/>
    <xf numFmtId="183" fontId="14" fillId="0" borderId="0" applyFont="0" applyFill="0" applyBorder="0" applyAlignment="0" applyProtection="0"/>
    <xf numFmtId="183" fontId="8" fillId="0" borderId="0" applyFont="0" applyFill="0" applyBorder="0" applyAlignment="0" applyProtection="0"/>
    <xf numFmtId="0" fontId="15" fillId="0" borderId="12">
      <alignment horizontal="center"/>
    </xf>
    <xf numFmtId="0" fontId="39" fillId="0" borderId="0"/>
    <xf numFmtId="198" fontId="42" fillId="0" borderId="13">
      <alignment horizontal="right" vertical="center"/>
    </xf>
    <xf numFmtId="198" fontId="42" fillId="0" borderId="13">
      <alignment horizontal="right" vertical="center"/>
    </xf>
    <xf numFmtId="199" fontId="42" fillId="0" borderId="13">
      <alignment horizontal="right" vertical="center"/>
    </xf>
    <xf numFmtId="199" fontId="42" fillId="0" borderId="13">
      <alignment horizontal="right" vertical="center"/>
    </xf>
    <xf numFmtId="199" fontId="42" fillId="0" borderId="13">
      <alignment horizontal="right" vertical="center"/>
    </xf>
    <xf numFmtId="198" fontId="42" fillId="0" borderId="13">
      <alignment horizontal="right" vertical="center"/>
    </xf>
    <xf numFmtId="200" fontId="42" fillId="0" borderId="13">
      <alignment horizontal="right" vertical="center"/>
    </xf>
    <xf numFmtId="200" fontId="42" fillId="0" borderId="13">
      <alignment horizontal="right" vertical="center"/>
    </xf>
    <xf numFmtId="200" fontId="42" fillId="0" borderId="13">
      <alignment horizontal="right" vertical="center"/>
    </xf>
    <xf numFmtId="200" fontId="42" fillId="0" borderId="13">
      <alignment horizontal="right" vertical="center"/>
    </xf>
    <xf numFmtId="200" fontId="42" fillId="0" borderId="13">
      <alignment horizontal="right" vertical="center"/>
    </xf>
    <xf numFmtId="200" fontId="42" fillId="0" borderId="13">
      <alignment horizontal="right" vertical="center"/>
    </xf>
    <xf numFmtId="198" fontId="42" fillId="0" borderId="13">
      <alignment horizontal="right" vertical="center"/>
    </xf>
    <xf numFmtId="183" fontId="42" fillId="0" borderId="13">
      <alignment horizontal="center"/>
    </xf>
    <xf numFmtId="183" fontId="42" fillId="0" borderId="13">
      <alignment horizontal="center"/>
    </xf>
    <xf numFmtId="201" fontId="44" fillId="0" borderId="0" applyNumberFormat="0" applyFont="0" applyFill="0" applyBorder="0" applyAlignment="0">
      <alignment horizontal="centerContinuous"/>
    </xf>
    <xf numFmtId="0" fontId="42" fillId="0" borderId="0" applyNumberFormat="0" applyFill="0" applyBorder="0" applyAlignment="0" applyProtection="0"/>
    <xf numFmtId="0" fontId="2" fillId="0" borderId="0" applyNumberFormat="0" applyFill="0" applyBorder="0" applyAlignment="0" applyProtection="0"/>
    <xf numFmtId="0" fontId="6" fillId="0" borderId="0" applyNumberFormat="0" applyFill="0" applyBorder="0" applyAlignment="0" applyProtection="0"/>
    <xf numFmtId="0" fontId="71" fillId="0" borderId="0" applyNumberFormat="0" applyFill="0" applyBorder="0" applyAlignment="0" applyProtection="0"/>
    <xf numFmtId="0" fontId="2" fillId="0" borderId="14" applyNumberFormat="0" applyFont="0" applyFill="0" applyAlignment="0" applyProtection="0"/>
    <xf numFmtId="202" fontId="45" fillId="0" borderId="0" applyFont="0" applyFill="0" applyBorder="0" applyAlignment="0" applyProtection="0"/>
    <xf numFmtId="203" fontId="17" fillId="0" borderId="0" applyFont="0" applyFill="0" applyBorder="0" applyAlignment="0" applyProtection="0"/>
    <xf numFmtId="204" fontId="42" fillId="0" borderId="0"/>
    <xf numFmtId="204" fontId="42" fillId="0" borderId="0"/>
    <xf numFmtId="205" fontId="42" fillId="0" borderId="7"/>
    <xf numFmtId="205" fontId="42" fillId="0" borderId="7"/>
    <xf numFmtId="189" fontId="14" fillId="0" borderId="0" applyFont="0" applyFill="0" applyBorder="0" applyAlignment="0" applyProtection="0"/>
    <xf numFmtId="166" fontId="14" fillId="0" borderId="0" applyFont="0" applyFill="0" applyBorder="0" applyAlignment="0" applyProtection="0"/>
    <xf numFmtId="0" fontId="72"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4" fillId="0" borderId="0">
      <alignment vertical="center"/>
    </xf>
    <xf numFmtId="40" fontId="47" fillId="0" borderId="0" applyFont="0" applyFill="0" applyBorder="0" applyAlignment="0" applyProtection="0"/>
    <xf numFmtId="38" fontId="47"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9" fontId="48" fillId="0" borderId="0" applyFont="0" applyFill="0" applyBorder="0" applyAlignment="0" applyProtection="0"/>
    <xf numFmtId="0" fontId="49" fillId="0" borderId="0"/>
    <xf numFmtId="0" fontId="50" fillId="0" borderId="0" applyFont="0" applyFill="0" applyBorder="0" applyAlignment="0" applyProtection="0"/>
    <xf numFmtId="0" fontId="50" fillId="0" borderId="0" applyFont="0" applyFill="0" applyBorder="0" applyAlignment="0" applyProtection="0"/>
    <xf numFmtId="206" fontId="50" fillId="0" borderId="0" applyFont="0" applyFill="0" applyBorder="0" applyAlignment="0" applyProtection="0"/>
    <xf numFmtId="207" fontId="50" fillId="0" borderId="0" applyFont="0" applyFill="0" applyBorder="0" applyAlignment="0" applyProtection="0"/>
    <xf numFmtId="0" fontId="51" fillId="0" borderId="0"/>
    <xf numFmtId="0" fontId="7" fillId="0" borderId="0"/>
    <xf numFmtId="176" fontId="52" fillId="0" borderId="0" applyFont="0" applyFill="0" applyBorder="0" applyAlignment="0" applyProtection="0"/>
    <xf numFmtId="197" fontId="52" fillId="0" borderId="0" applyFont="0" applyFill="0" applyBorder="0" applyAlignment="0" applyProtection="0"/>
    <xf numFmtId="190" fontId="7" fillId="0" borderId="0" applyFont="0" applyFill="0" applyBorder="0" applyAlignment="0" applyProtection="0"/>
    <xf numFmtId="175" fontId="7" fillId="0" borderId="0" applyFont="0" applyFill="0" applyBorder="0" applyAlignment="0" applyProtection="0"/>
    <xf numFmtId="0" fontId="53" fillId="0" borderId="0"/>
    <xf numFmtId="208" fontId="52" fillId="0" borderId="0" applyFont="0" applyFill="0" applyBorder="0" applyAlignment="0" applyProtection="0"/>
    <xf numFmtId="209" fontId="19" fillId="0" borderId="0" applyFont="0" applyFill="0" applyBorder="0" applyAlignment="0" applyProtection="0"/>
    <xf numFmtId="210" fontId="52"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9" fillId="0" borderId="0"/>
    <xf numFmtId="0" fontId="2" fillId="0" borderId="0"/>
    <xf numFmtId="0" fontId="2" fillId="0" borderId="0"/>
    <xf numFmtId="43" fontId="2" fillId="0" borderId="0" applyFont="0" applyFill="0" applyBorder="0" applyAlignment="0" applyProtection="0"/>
    <xf numFmtId="0" fontId="1" fillId="0" borderId="0"/>
    <xf numFmtId="0" fontId="8" fillId="0" borderId="0"/>
    <xf numFmtId="0" fontId="12" fillId="0" borderId="0"/>
    <xf numFmtId="43" fontId="78" fillId="0" borderId="0" applyFont="0" applyFill="0" applyBorder="0" applyAlignment="0" applyProtection="0"/>
    <xf numFmtId="43" fontId="1" fillId="0" borderId="0" applyFont="0" applyFill="0" applyBorder="0" applyAlignment="0" applyProtection="0"/>
    <xf numFmtId="9" fontId="78" fillId="0" borderId="0" applyFont="0" applyFill="0" applyBorder="0" applyAlignment="0" applyProtection="0"/>
  </cellStyleXfs>
  <cellXfs count="678">
    <xf numFmtId="0" fontId="0" fillId="0" borderId="0" xfId="0"/>
    <xf numFmtId="0" fontId="4" fillId="0" borderId="16" xfId="0" applyFont="1" applyBorder="1" applyAlignment="1">
      <alignment horizontal="center" vertical="center"/>
    </xf>
    <xf numFmtId="3" fontId="4" fillId="0" borderId="16" xfId="0" applyNumberFormat="1" applyFont="1" applyBorder="1" applyAlignment="1">
      <alignment horizontal="center" vertical="center"/>
    </xf>
    <xf numFmtId="0" fontId="4" fillId="0" borderId="16" xfId="0" applyFont="1" applyBorder="1" applyAlignment="1">
      <alignment vertical="center" wrapText="1"/>
    </xf>
    <xf numFmtId="0" fontId="4" fillId="0" borderId="0" xfId="0" applyFont="1" applyAlignment="1">
      <alignment vertical="center"/>
    </xf>
    <xf numFmtId="3" fontId="4" fillId="0" borderId="0" xfId="0" applyNumberFormat="1" applyFont="1" applyAlignment="1">
      <alignment horizontal="center" vertical="center"/>
    </xf>
    <xf numFmtId="0" fontId="4" fillId="0" borderId="0" xfId="0" applyFont="1" applyAlignment="1">
      <alignment horizontal="left" vertical="center"/>
    </xf>
    <xf numFmtId="3" fontId="4" fillId="0" borderId="0" xfId="0" applyNumberFormat="1" applyFont="1" applyAlignment="1">
      <alignment vertical="center"/>
    </xf>
    <xf numFmtId="0" fontId="81" fillId="0" borderId="0" xfId="0" applyFont="1" applyAlignment="1">
      <alignment horizontal="right" vertical="center"/>
    </xf>
    <xf numFmtId="0" fontId="4" fillId="0" borderId="0" xfId="0" applyFont="1" applyAlignment="1">
      <alignment horizontal="center" vertical="center" wrapText="1"/>
    </xf>
    <xf numFmtId="0" fontId="82" fillId="0" borderId="0" xfId="0" applyFont="1" applyAlignment="1">
      <alignment horizontal="center" vertical="center"/>
    </xf>
    <xf numFmtId="3" fontId="80" fillId="0" borderId="16" xfId="0" applyNumberFormat="1" applyFont="1" applyBorder="1" applyAlignment="1">
      <alignment horizontal="center" vertical="center"/>
    </xf>
    <xf numFmtId="0" fontId="80" fillId="0" borderId="16" xfId="0" applyFont="1" applyBorder="1" applyAlignment="1">
      <alignment horizontal="center" vertical="center"/>
    </xf>
    <xf numFmtId="0" fontId="80" fillId="0" borderId="0" xfId="0" applyFont="1" applyAlignment="1">
      <alignment horizontal="center" vertical="center"/>
    </xf>
    <xf numFmtId="0" fontId="4" fillId="0" borderId="16" xfId="0" applyFont="1" applyBorder="1" applyAlignment="1">
      <alignment horizontal="center" vertical="center" wrapText="1"/>
    </xf>
    <xf numFmtId="3" fontId="4" fillId="0" borderId="16" xfId="0" applyNumberFormat="1" applyFont="1" applyBorder="1" applyAlignment="1">
      <alignment horizontal="center" vertical="center" wrapText="1"/>
    </xf>
    <xf numFmtId="0" fontId="4" fillId="0" borderId="0" xfId="0" applyFont="1" applyAlignment="1">
      <alignment horizontal="center" vertical="center"/>
    </xf>
    <xf numFmtId="0" fontId="4" fillId="0" borderId="16" xfId="0" applyFont="1" applyBorder="1" applyAlignment="1">
      <alignment vertical="center"/>
    </xf>
    <xf numFmtId="3" fontId="4" fillId="0" borderId="16" xfId="0" applyNumberFormat="1" applyFont="1" applyBorder="1" applyAlignment="1">
      <alignment vertical="center" wrapText="1"/>
    </xf>
    <xf numFmtId="3" fontId="4" fillId="0" borderId="16" xfId="0" applyNumberFormat="1" applyFont="1" applyBorder="1" applyAlignment="1">
      <alignment vertical="center"/>
    </xf>
    <xf numFmtId="166" fontId="4" fillId="0" borderId="16" xfId="0" applyNumberFormat="1" applyFont="1" applyBorder="1" applyAlignment="1">
      <alignment horizontal="center" vertical="center"/>
    </xf>
    <xf numFmtId="0" fontId="4" fillId="0" borderId="0" xfId="0" applyFont="1" applyAlignment="1">
      <alignment vertical="center" wrapText="1"/>
    </xf>
    <xf numFmtId="3" fontId="4" fillId="26" borderId="16" xfId="0" applyNumberFormat="1" applyFont="1" applyFill="1" applyBorder="1" applyAlignment="1">
      <alignment vertical="center" wrapText="1"/>
    </xf>
    <xf numFmtId="0" fontId="4" fillId="26" borderId="16" xfId="0" applyFont="1" applyFill="1" applyBorder="1" applyAlignment="1">
      <alignment horizontal="center" vertical="center" wrapText="1"/>
    </xf>
    <xf numFmtId="37" fontId="4" fillId="0" borderId="16" xfId="177" applyNumberFormat="1" applyFont="1" applyFill="1" applyBorder="1" applyAlignment="1">
      <alignment horizontal="center" vertical="center" wrapText="1"/>
    </xf>
    <xf numFmtId="3" fontId="9" fillId="0" borderId="0" xfId="0" applyNumberFormat="1" applyFont="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26" borderId="16" xfId="0" applyFont="1" applyFill="1" applyBorder="1" applyAlignment="1">
      <alignment horizontal="center" vertical="center" wrapText="1"/>
    </xf>
    <xf numFmtId="0" fontId="4" fillId="0" borderId="17" xfId="0" applyFont="1" applyBorder="1" applyAlignment="1">
      <alignment horizontal="center" vertical="center"/>
    </xf>
    <xf numFmtId="212" fontId="4" fillId="26" borderId="16" xfId="177" applyNumberFormat="1" applyFont="1" applyFill="1" applyBorder="1" applyAlignment="1">
      <alignment horizontal="center" vertical="center" wrapText="1"/>
    </xf>
    <xf numFmtId="0" fontId="4" fillId="26" borderId="16" xfId="0" applyFont="1" applyFill="1" applyBorder="1" applyAlignment="1">
      <alignment vertical="center" wrapText="1"/>
    </xf>
    <xf numFmtId="0" fontId="81" fillId="0" borderId="16" xfId="0" applyFont="1" applyBorder="1" applyAlignment="1">
      <alignment horizontal="center" vertical="center" wrapText="1"/>
    </xf>
    <xf numFmtId="3" fontId="81" fillId="0" borderId="16" xfId="0" applyNumberFormat="1" applyFont="1" applyBorder="1" applyAlignment="1">
      <alignment horizontal="center" vertical="center"/>
    </xf>
    <xf numFmtId="0" fontId="81" fillId="0" borderId="0" xfId="0" applyFont="1" applyAlignment="1">
      <alignment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xf>
    <xf numFmtId="0" fontId="80" fillId="0" borderId="7" xfId="0" applyFont="1" applyBorder="1" applyAlignment="1">
      <alignment horizontal="center" vertical="center"/>
    </xf>
    <xf numFmtId="0" fontId="4" fillId="0" borderId="7" xfId="0" applyFont="1" applyBorder="1" applyAlignment="1">
      <alignment horizontal="center" vertical="center"/>
    </xf>
    <xf numFmtId="0" fontId="81" fillId="0" borderId="0" xfId="0" applyFont="1" applyAlignment="1">
      <alignment vertical="center"/>
    </xf>
    <xf numFmtId="166" fontId="4" fillId="0" borderId="0" xfId="161" applyNumberFormat="1" applyFont="1" applyFill="1" applyBorder="1" applyAlignment="1">
      <alignment horizontal="right" vertical="center"/>
    </xf>
    <xf numFmtId="0" fontId="4" fillId="26" borderId="19" xfId="0" applyFont="1" applyFill="1" applyBorder="1" applyAlignment="1">
      <alignment horizontal="center" vertical="center" wrapText="1"/>
    </xf>
    <xf numFmtId="3" fontId="4" fillId="26" borderId="19" xfId="0" applyNumberFormat="1"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Alignment="1">
      <alignment horizontal="right" vertical="center"/>
    </xf>
    <xf numFmtId="3" fontId="4" fillId="0" borderId="0" xfId="0" applyNumberFormat="1" applyFont="1" applyAlignment="1">
      <alignment horizontal="right" vertical="center"/>
    </xf>
    <xf numFmtId="3" fontId="4" fillId="0" borderId="16" xfId="0" applyNumberFormat="1" applyFont="1" applyBorder="1" applyAlignment="1">
      <alignment horizontal="right" vertical="center"/>
    </xf>
    <xf numFmtId="3" fontId="4" fillId="0" borderId="16" xfId="0" applyNumberFormat="1" applyFont="1" applyBorder="1" applyAlignment="1">
      <alignment horizontal="left" vertical="center" wrapText="1"/>
    </xf>
    <xf numFmtId="3" fontId="80" fillId="0" borderId="16" xfId="0" applyNumberFormat="1" applyFont="1" applyBorder="1" applyAlignment="1">
      <alignment horizontal="right" vertical="center"/>
    </xf>
    <xf numFmtId="0" fontId="80" fillId="0" borderId="0" xfId="0" applyFont="1" applyAlignment="1">
      <alignment vertical="center"/>
    </xf>
    <xf numFmtId="0" fontId="80" fillId="0" borderId="16" xfId="0" applyFont="1" applyBorder="1" applyAlignment="1">
      <alignment vertical="center" wrapText="1"/>
    </xf>
    <xf numFmtId="0" fontId="4" fillId="0" borderId="16" xfId="0" applyFont="1" applyBorder="1" applyAlignment="1">
      <alignment horizontal="right" vertical="center"/>
    </xf>
    <xf numFmtId="0" fontId="81" fillId="0" borderId="17" xfId="0" applyFont="1" applyBorder="1" applyAlignment="1">
      <alignment horizontal="center" vertical="center" wrapText="1"/>
    </xf>
    <xf numFmtId="0" fontId="85" fillId="0" borderId="17" xfId="0" applyFont="1" applyBorder="1" applyAlignment="1">
      <alignment horizontal="center" vertical="center" wrapText="1"/>
    </xf>
    <xf numFmtId="0" fontId="81" fillId="0" borderId="17" xfId="0" applyFont="1" applyBorder="1" applyAlignment="1">
      <alignment horizontal="center" vertical="center"/>
    </xf>
    <xf numFmtId="3" fontId="4" fillId="26" borderId="19" xfId="799" applyNumberFormat="1" applyFont="1" applyFill="1" applyBorder="1" applyAlignment="1">
      <alignment horizontal="center" vertical="center" wrapText="1"/>
    </xf>
    <xf numFmtId="3" fontId="4" fillId="26" borderId="19" xfId="799" applyNumberFormat="1" applyFont="1" applyFill="1" applyBorder="1" applyAlignment="1">
      <alignment horizontal="left" vertical="center" wrapText="1"/>
    </xf>
    <xf numFmtId="3" fontId="9" fillId="26" borderId="19" xfId="799" applyNumberFormat="1" applyFont="1" applyFill="1" applyBorder="1" applyAlignment="1">
      <alignment horizontal="center" vertical="center" wrapText="1"/>
    </xf>
    <xf numFmtId="0" fontId="4" fillId="0" borderId="17" xfId="497" applyFont="1" applyBorder="1" applyAlignment="1">
      <alignment horizontal="left" vertical="center" wrapText="1"/>
    </xf>
    <xf numFmtId="0" fontId="84" fillId="0" borderId="7" xfId="0" applyFont="1" applyBorder="1" applyAlignment="1">
      <alignment horizontal="center" vertical="center" wrapText="1"/>
    </xf>
    <xf numFmtId="0" fontId="4" fillId="26" borderId="17" xfId="518" applyFont="1" applyFill="1" applyBorder="1" applyAlignment="1">
      <alignment horizontal="left" vertical="center" wrapText="1"/>
    </xf>
    <xf numFmtId="0" fontId="4" fillId="26" borderId="17" xfId="0" applyFont="1" applyFill="1" applyBorder="1" applyAlignment="1">
      <alignment horizontal="center" vertical="center" wrapText="1"/>
    </xf>
    <xf numFmtId="3" fontId="4" fillId="26" borderId="17" xfId="0" applyNumberFormat="1" applyFont="1" applyFill="1" applyBorder="1" applyAlignment="1">
      <alignment vertical="center" wrapText="1"/>
    </xf>
    <xf numFmtId="3" fontId="4" fillId="26" borderId="17" xfId="0" applyNumberFormat="1" applyFont="1" applyFill="1" applyBorder="1" applyAlignment="1">
      <alignment horizontal="center" vertical="center" wrapText="1"/>
    </xf>
    <xf numFmtId="212" fontId="4" fillId="26" borderId="17" xfId="0" applyNumberFormat="1" applyFont="1" applyFill="1" applyBorder="1" applyAlignment="1">
      <alignment horizontal="center" vertical="center"/>
    </xf>
    <xf numFmtId="3" fontId="9" fillId="26" borderId="17" xfId="0" quotePrefix="1" applyNumberFormat="1" applyFont="1" applyFill="1" applyBorder="1" applyAlignment="1">
      <alignment horizontal="left" vertical="center" wrapText="1"/>
    </xf>
    <xf numFmtId="0" fontId="4" fillId="26" borderId="19" xfId="0" applyFont="1" applyFill="1" applyBorder="1" applyAlignment="1">
      <alignment horizontal="center" vertical="center"/>
    </xf>
    <xf numFmtId="0" fontId="4" fillId="26" borderId="19" xfId="518" applyFont="1" applyFill="1" applyBorder="1" applyAlignment="1">
      <alignment horizontal="left" vertical="center" wrapText="1"/>
    </xf>
    <xf numFmtId="3" fontId="4" fillId="26" borderId="19" xfId="0" applyNumberFormat="1" applyFont="1" applyFill="1" applyBorder="1" applyAlignment="1">
      <alignment vertical="center" wrapText="1"/>
    </xf>
    <xf numFmtId="212" fontId="4" fillId="26" borderId="19" xfId="0" applyNumberFormat="1" applyFont="1" applyFill="1" applyBorder="1" applyAlignment="1">
      <alignment horizontal="center" vertical="center"/>
    </xf>
    <xf numFmtId="3" fontId="9" fillId="26" borderId="19" xfId="0" quotePrefix="1" applyNumberFormat="1" applyFont="1" applyFill="1" applyBorder="1" applyAlignment="1">
      <alignment horizontal="left" vertical="center" wrapText="1"/>
    </xf>
    <xf numFmtId="166" fontId="4" fillId="26" borderId="17" xfId="180" applyNumberFormat="1" applyFont="1" applyFill="1" applyBorder="1" applyAlignment="1">
      <alignment horizontal="center" vertical="center" wrapText="1"/>
    </xf>
    <xf numFmtId="0" fontId="4" fillId="0" borderId="17" xfId="794" applyFont="1" applyBorder="1" applyAlignment="1">
      <alignment horizontal="left" vertical="center" wrapText="1"/>
    </xf>
    <xf numFmtId="3" fontId="4" fillId="0" borderId="17" xfId="0" applyNumberFormat="1" applyFont="1" applyBorder="1" applyAlignment="1">
      <alignment horizontal="center" vertical="center" wrapText="1"/>
    </xf>
    <xf numFmtId="0" fontId="9" fillId="0" borderId="17" xfId="0" applyFont="1" applyBorder="1" applyAlignment="1">
      <alignment horizontal="center" vertical="center"/>
    </xf>
    <xf numFmtId="0" fontId="4" fillId="26" borderId="12" xfId="0" applyFont="1" applyFill="1" applyBorder="1" applyAlignment="1">
      <alignment horizontal="center" vertical="center" wrapText="1"/>
    </xf>
    <xf numFmtId="3" fontId="4" fillId="26" borderId="12" xfId="0" applyNumberFormat="1" applyFont="1" applyFill="1" applyBorder="1" applyAlignment="1">
      <alignment vertical="center" wrapText="1"/>
    </xf>
    <xf numFmtId="3" fontId="4" fillId="26" borderId="12" xfId="0" applyNumberFormat="1" applyFont="1" applyFill="1" applyBorder="1" applyAlignment="1">
      <alignment horizontal="center" vertical="center" wrapText="1"/>
    </xf>
    <xf numFmtId="212" fontId="4" fillId="26" borderId="12" xfId="0" applyNumberFormat="1" applyFont="1" applyFill="1" applyBorder="1" applyAlignment="1">
      <alignment horizontal="center" vertical="center"/>
    </xf>
    <xf numFmtId="3" fontId="9" fillId="26" borderId="12" xfId="0" quotePrefix="1" applyNumberFormat="1" applyFont="1" applyFill="1" applyBorder="1" applyAlignment="1">
      <alignment horizontal="left" vertical="center" wrapText="1"/>
    </xf>
    <xf numFmtId="3" fontId="80" fillId="0" borderId="15" xfId="799" applyNumberFormat="1" applyFont="1" applyBorder="1" applyAlignment="1">
      <alignment horizontal="center" vertical="center" wrapText="1"/>
    </xf>
    <xf numFmtId="0" fontId="80" fillId="0" borderId="15" xfId="0" applyFont="1" applyBorder="1" applyAlignment="1">
      <alignment horizontal="left" vertical="center" wrapText="1"/>
    </xf>
    <xf numFmtId="0" fontId="4" fillId="0" borderId="15" xfId="0" applyFont="1" applyBorder="1" applyAlignment="1">
      <alignment horizontal="center" vertical="center" wrapText="1"/>
    </xf>
    <xf numFmtId="3" fontId="4" fillId="0" borderId="15" xfId="0" applyNumberFormat="1" applyFont="1" applyBorder="1" applyAlignment="1">
      <alignment vertical="center" wrapText="1"/>
    </xf>
    <xf numFmtId="37" fontId="4" fillId="0" borderId="15" xfId="177" applyNumberFormat="1" applyFont="1" applyFill="1" applyBorder="1" applyAlignment="1">
      <alignment horizontal="center" vertical="center" wrapText="1"/>
    </xf>
    <xf numFmtId="3" fontId="4" fillId="0" borderId="15" xfId="800" applyNumberFormat="1" applyFont="1" applyBorder="1" applyAlignment="1">
      <alignment horizontal="center" vertical="center" wrapText="1"/>
    </xf>
    <xf numFmtId="0" fontId="4" fillId="0" borderId="15" xfId="0" applyFont="1" applyBorder="1" applyAlignment="1">
      <alignment vertical="center" wrapText="1"/>
    </xf>
    <xf numFmtId="0" fontId="4" fillId="0" borderId="15" xfId="794" applyFont="1" applyBorder="1" applyAlignment="1">
      <alignment horizontal="center" vertical="center" wrapText="1"/>
    </xf>
    <xf numFmtId="166" fontId="80" fillId="0" borderId="15" xfId="177" applyNumberFormat="1" applyFont="1" applyFill="1" applyBorder="1" applyAlignment="1">
      <alignment horizontal="right" vertical="center" wrapText="1"/>
    </xf>
    <xf numFmtId="3" fontId="80" fillId="0" borderId="16" xfId="799" applyNumberFormat="1" applyFont="1" applyBorder="1" applyAlignment="1">
      <alignment horizontal="center" vertical="center" wrapText="1"/>
    </xf>
    <xf numFmtId="0" fontId="80" fillId="0" borderId="16" xfId="0" applyFont="1" applyBorder="1" applyAlignment="1">
      <alignment horizontal="left" vertical="center" wrapText="1"/>
    </xf>
    <xf numFmtId="3" fontId="4" fillId="0" borderId="16" xfId="800" applyNumberFormat="1" applyFont="1" applyBorder="1" applyAlignment="1">
      <alignment horizontal="center" vertical="center" wrapText="1"/>
    </xf>
    <xf numFmtId="0" fontId="4" fillId="0" borderId="16" xfId="794" applyFont="1" applyBorder="1" applyAlignment="1">
      <alignment horizontal="center" vertical="center" wrapText="1"/>
    </xf>
    <xf numFmtId="166" fontId="80" fillId="0" borderId="16" xfId="177" applyNumberFormat="1" applyFont="1" applyFill="1" applyBorder="1" applyAlignment="1">
      <alignment horizontal="right" vertical="center" wrapText="1"/>
    </xf>
    <xf numFmtId="166" fontId="80" fillId="0" borderId="16" xfId="177" applyNumberFormat="1" applyFont="1" applyFill="1" applyBorder="1" applyAlignment="1">
      <alignment vertical="center" wrapText="1"/>
    </xf>
    <xf numFmtId="0" fontId="83" fillId="0" borderId="16" xfId="0" applyFont="1" applyBorder="1" applyAlignment="1">
      <alignment horizontal="center" vertical="center" wrapText="1"/>
    </xf>
    <xf numFmtId="0" fontId="83" fillId="0" borderId="16" xfId="561" applyFont="1" applyBorder="1" applyAlignment="1">
      <alignment vertical="center" wrapText="1"/>
    </xf>
    <xf numFmtId="3" fontId="80" fillId="0" borderId="16" xfId="0" applyNumberFormat="1" applyFont="1" applyBorder="1" applyAlignment="1">
      <alignment horizontal="right" vertical="center" wrapText="1"/>
    </xf>
    <xf numFmtId="3" fontId="80" fillId="0" borderId="16" xfId="0" applyNumberFormat="1" applyFont="1" applyBorder="1" applyAlignment="1">
      <alignment vertical="center" wrapText="1"/>
    </xf>
    <xf numFmtId="212" fontId="4" fillId="0" borderId="16" xfId="800" applyNumberFormat="1" applyFont="1" applyBorder="1" applyAlignment="1">
      <alignment horizontal="right" vertical="center" wrapText="1"/>
    </xf>
    <xf numFmtId="3" fontId="4" fillId="0" borderId="16" xfId="0" applyNumberFormat="1" applyFont="1" applyBorder="1" applyAlignment="1">
      <alignment horizontal="right" vertical="center" wrapText="1"/>
    </xf>
    <xf numFmtId="0" fontId="4" fillId="0" borderId="16" xfId="0" applyFont="1" applyBorder="1" applyAlignment="1">
      <alignment horizontal="left" vertical="center" wrapText="1"/>
    </xf>
    <xf numFmtId="0" fontId="80" fillId="0" borderId="19" xfId="0" applyFont="1" applyBorder="1" applyAlignment="1">
      <alignment horizontal="center" vertical="center" wrapText="1"/>
    </xf>
    <xf numFmtId="0" fontId="80" fillId="0" borderId="19" xfId="0" applyFont="1" applyBorder="1" applyAlignment="1">
      <alignment horizontal="center" vertical="center"/>
    </xf>
    <xf numFmtId="0" fontId="84" fillId="0" borderId="19" xfId="0" applyFont="1" applyBorder="1" applyAlignment="1">
      <alignment horizontal="center" vertical="center" wrapText="1"/>
    </xf>
    <xf numFmtId="3" fontId="80" fillId="0" borderId="19" xfId="0" applyNumberFormat="1" applyFont="1" applyBorder="1" applyAlignment="1">
      <alignment horizontal="center" vertical="center" wrapText="1"/>
    </xf>
    <xf numFmtId="0" fontId="82" fillId="0" borderId="7" xfId="0" applyFont="1" applyBorder="1" applyAlignment="1">
      <alignment horizontal="center" vertical="center" wrapText="1"/>
    </xf>
    <xf numFmtId="3" fontId="80" fillId="0" borderId="15" xfId="0" applyNumberFormat="1" applyFont="1" applyBorder="1" applyAlignment="1">
      <alignment horizontal="center" vertical="center"/>
    </xf>
    <xf numFmtId="166" fontId="4" fillId="0" borderId="20" xfId="0" applyNumberFormat="1" applyFont="1" applyBorder="1" applyAlignment="1">
      <alignment horizontal="center" vertical="center"/>
    </xf>
    <xf numFmtId="0" fontId="4" fillId="26" borderId="7" xfId="0" applyFont="1" applyFill="1" applyBorder="1" applyAlignment="1">
      <alignment horizontal="center" vertical="center" wrapText="1"/>
    </xf>
    <xf numFmtId="1" fontId="4" fillId="0" borderId="7" xfId="796" applyNumberFormat="1" applyFont="1" applyFill="1" applyBorder="1" applyAlignment="1">
      <alignment horizontal="left" vertical="center" wrapText="1"/>
    </xf>
    <xf numFmtId="3" fontId="4" fillId="26" borderId="7" xfId="0" applyNumberFormat="1" applyFont="1" applyFill="1" applyBorder="1" applyAlignment="1">
      <alignment vertical="center" wrapText="1"/>
    </xf>
    <xf numFmtId="3" fontId="4" fillId="26" borderId="7" xfId="0" applyNumberFormat="1" applyFont="1" applyFill="1" applyBorder="1" applyAlignment="1">
      <alignment horizontal="left" vertical="center" wrapText="1"/>
    </xf>
    <xf numFmtId="0" fontId="4" fillId="0" borderId="7" xfId="177" applyNumberFormat="1" applyFont="1" applyFill="1" applyBorder="1" applyAlignment="1">
      <alignment horizontal="center" vertical="center" wrapText="1"/>
    </xf>
    <xf numFmtId="212" fontId="4" fillId="26" borderId="7" xfId="800" applyNumberFormat="1" applyFont="1" applyFill="1" applyBorder="1" applyAlignment="1">
      <alignment horizontal="center" vertical="center" wrapText="1"/>
    </xf>
    <xf numFmtId="1" fontId="4" fillId="0" borderId="7" xfId="796" applyNumberFormat="1" applyFont="1" applyBorder="1" applyAlignment="1">
      <alignment horizontal="center" vertical="center" wrapText="1"/>
    </xf>
    <xf numFmtId="3" fontId="4" fillId="0" borderId="19" xfId="0" applyNumberFormat="1" applyFont="1" applyBorder="1" applyAlignment="1">
      <alignment horizontal="right" vertical="center"/>
    </xf>
    <xf numFmtId="3" fontId="4" fillId="0" borderId="17" xfId="0" applyNumberFormat="1" applyFont="1" applyBorder="1" applyAlignment="1">
      <alignment horizontal="right" vertical="center"/>
    </xf>
    <xf numFmtId="166" fontId="4" fillId="0" borderId="0" xfId="177" applyNumberFormat="1" applyFont="1" applyFill="1" applyBorder="1" applyAlignment="1">
      <alignment horizontal="right" vertical="center"/>
    </xf>
    <xf numFmtId="3" fontId="4" fillId="0" borderId="20" xfId="0" applyNumberFormat="1" applyFont="1" applyBorder="1" applyAlignment="1">
      <alignment horizontal="center" vertical="center"/>
    </xf>
    <xf numFmtId="212" fontId="4" fillId="26" borderId="17" xfId="177" applyNumberFormat="1" applyFont="1" applyFill="1" applyBorder="1" applyAlignment="1">
      <alignment horizontal="center" vertical="center" wrapText="1"/>
    </xf>
    <xf numFmtId="0" fontId="9" fillId="26" borderId="17" xfId="0" applyFont="1" applyFill="1" applyBorder="1" applyAlignment="1">
      <alignment horizontal="center" vertical="center" wrapText="1"/>
    </xf>
    <xf numFmtId="37" fontId="4" fillId="26" borderId="19" xfId="177" applyNumberFormat="1" applyFont="1" applyFill="1" applyBorder="1" applyAlignment="1">
      <alignment horizontal="center" vertical="center" wrapText="1"/>
    </xf>
    <xf numFmtId="0" fontId="4" fillId="26" borderId="19" xfId="511" applyFont="1" applyFill="1" applyBorder="1" applyAlignment="1">
      <alignment horizontal="center" vertical="center" wrapText="1"/>
    </xf>
    <xf numFmtId="166" fontId="4" fillId="26" borderId="16" xfId="0" applyNumberFormat="1" applyFont="1" applyFill="1" applyBorder="1" applyAlignment="1">
      <alignment horizontal="center" vertical="center"/>
    </xf>
    <xf numFmtId="0" fontId="4" fillId="26" borderId="0" xfId="0" applyFont="1" applyFill="1" applyAlignment="1">
      <alignment vertical="center"/>
    </xf>
    <xf numFmtId="0" fontId="4" fillId="26" borderId="16" xfId="0" applyFont="1" applyFill="1" applyBorder="1" applyAlignment="1">
      <alignment horizontal="center" vertical="center"/>
    </xf>
    <xf numFmtId="0" fontId="4" fillId="26" borderId="17" xfId="0" applyFont="1" applyFill="1" applyBorder="1" applyAlignment="1">
      <alignment horizontal="center" vertical="center"/>
    </xf>
    <xf numFmtId="0" fontId="4" fillId="26" borderId="12" xfId="0" applyFont="1" applyFill="1" applyBorder="1" applyAlignment="1">
      <alignment horizontal="center" vertical="center"/>
    </xf>
    <xf numFmtId="3" fontId="4" fillId="26" borderId="16" xfId="0" applyNumberFormat="1" applyFont="1" applyFill="1" applyBorder="1" applyAlignment="1">
      <alignment horizontal="center" vertical="center"/>
    </xf>
    <xf numFmtId="0" fontId="9" fillId="0" borderId="17" xfId="0" applyFont="1" applyBorder="1" applyAlignment="1">
      <alignment horizontal="center" vertical="center" wrapText="1"/>
    </xf>
    <xf numFmtId="0" fontId="79" fillId="0" borderId="19" xfId="0" applyFont="1" applyBorder="1" applyAlignment="1">
      <alignment horizontal="center" vertical="center" wrapText="1"/>
    </xf>
    <xf numFmtId="0" fontId="79" fillId="0" borderId="19" xfId="561" applyFont="1" applyBorder="1" applyAlignment="1">
      <alignment vertical="center" wrapText="1"/>
    </xf>
    <xf numFmtId="0" fontId="88" fillId="0" borderId="19" xfId="0" applyFont="1" applyBorder="1" applyAlignment="1">
      <alignment horizontal="center" vertical="center" wrapText="1"/>
    </xf>
    <xf numFmtId="0" fontId="79" fillId="0" borderId="19" xfId="0" applyFont="1" applyBorder="1" applyAlignment="1">
      <alignment horizontal="center" vertical="center"/>
    </xf>
    <xf numFmtId="3" fontId="79" fillId="0" borderId="16" xfId="0" applyNumberFormat="1" applyFont="1" applyBorder="1" applyAlignment="1">
      <alignment horizontal="center" vertical="center" wrapText="1"/>
    </xf>
    <xf numFmtId="3" fontId="79" fillId="0" borderId="16" xfId="0" applyNumberFormat="1" applyFont="1" applyBorder="1" applyAlignment="1">
      <alignment horizontal="center" vertical="center"/>
    </xf>
    <xf numFmtId="3" fontId="79" fillId="0" borderId="16" xfId="0" applyNumberFormat="1" applyFont="1" applyBorder="1" applyAlignment="1">
      <alignment horizontal="right" vertical="center" wrapText="1"/>
    </xf>
    <xf numFmtId="0" fontId="79" fillId="0" borderId="16" xfId="0" applyFont="1" applyBorder="1" applyAlignment="1">
      <alignment vertical="center" wrapText="1"/>
    </xf>
    <xf numFmtId="0" fontId="79" fillId="0" borderId="0" xfId="0" applyFont="1" applyAlignment="1">
      <alignment vertical="center"/>
    </xf>
    <xf numFmtId="0" fontId="80" fillId="0" borderId="19" xfId="497" applyFont="1" applyBorder="1" applyAlignment="1">
      <alignment horizontal="left" vertical="center" wrapText="1"/>
    </xf>
    <xf numFmtId="0" fontId="84" fillId="0" borderId="19" xfId="0" applyFont="1" applyBorder="1" applyAlignment="1">
      <alignment horizontal="center" vertical="center"/>
    </xf>
    <xf numFmtId="0" fontId="79" fillId="0" borderId="16" xfId="0" applyFont="1" applyBorder="1" applyAlignment="1">
      <alignment horizontal="center" vertical="center" wrapText="1"/>
    </xf>
    <xf numFmtId="3" fontId="79" fillId="0" borderId="16" xfId="0" applyNumberFormat="1" applyFont="1" applyBorder="1" applyAlignment="1">
      <alignment vertical="center" wrapText="1"/>
    </xf>
    <xf numFmtId="3" fontId="79" fillId="0" borderId="16" xfId="0" applyNumberFormat="1" applyFont="1" applyBorder="1" applyAlignment="1">
      <alignment horizontal="left" vertical="center" wrapText="1"/>
    </xf>
    <xf numFmtId="166" fontId="79" fillId="0" borderId="16" xfId="177" applyNumberFormat="1" applyFont="1" applyFill="1" applyBorder="1" applyAlignment="1">
      <alignment horizontal="right" vertical="center"/>
    </xf>
    <xf numFmtId="3" fontId="79" fillId="0" borderId="16" xfId="0" applyNumberFormat="1" applyFont="1" applyBorder="1" applyAlignment="1">
      <alignment horizontal="right" vertical="center"/>
    </xf>
    <xf numFmtId="3" fontId="79" fillId="0" borderId="19" xfId="0" applyNumberFormat="1" applyFont="1" applyBorder="1" applyAlignment="1">
      <alignment horizontal="right" vertical="center"/>
    </xf>
    <xf numFmtId="3" fontId="79" fillId="0" borderId="17" xfId="0" applyNumberFormat="1" applyFont="1" applyBorder="1" applyAlignment="1">
      <alignment horizontal="right" vertical="center"/>
    </xf>
    <xf numFmtId="0" fontId="79" fillId="26" borderId="7" xfId="0" applyFont="1" applyFill="1" applyBorder="1" applyAlignment="1">
      <alignment horizontal="center" vertical="center" wrapText="1"/>
    </xf>
    <xf numFmtId="1" fontId="79" fillId="0" borderId="0" xfId="0" applyNumberFormat="1" applyFont="1" applyAlignment="1">
      <alignment vertical="center"/>
    </xf>
    <xf numFmtId="0" fontId="79" fillId="0" borderId="16" xfId="0" applyFont="1" applyBorder="1" applyAlignment="1">
      <alignment horizontal="right" vertical="center"/>
    </xf>
    <xf numFmtId="166" fontId="79" fillId="0" borderId="21" xfId="177" applyNumberFormat="1" applyFont="1" applyFill="1" applyBorder="1" applyAlignment="1">
      <alignment horizontal="right" vertical="center"/>
    </xf>
    <xf numFmtId="0" fontId="79" fillId="0" borderId="16" xfId="0" applyFont="1" applyBorder="1" applyAlignment="1">
      <alignment vertical="center"/>
    </xf>
    <xf numFmtId="166" fontId="79" fillId="0" borderId="22" xfId="177" applyNumberFormat="1" applyFont="1" applyFill="1" applyBorder="1" applyAlignment="1">
      <alignment horizontal="right" vertical="center"/>
    </xf>
    <xf numFmtId="3" fontId="79" fillId="26" borderId="16" xfId="0" applyNumberFormat="1" applyFont="1" applyFill="1" applyBorder="1" applyAlignment="1">
      <alignment horizontal="left" vertical="center" wrapText="1"/>
    </xf>
    <xf numFmtId="0" fontId="79" fillId="26" borderId="16" xfId="0" applyFont="1" applyFill="1" applyBorder="1" applyAlignment="1">
      <alignment horizontal="center" vertical="center" wrapText="1"/>
    </xf>
    <xf numFmtId="3" fontId="79" fillId="26" borderId="16" xfId="0" applyNumberFormat="1" applyFont="1" applyFill="1" applyBorder="1" applyAlignment="1">
      <alignment horizontal="right" vertical="center"/>
    </xf>
    <xf numFmtId="3" fontId="79" fillId="26" borderId="16" xfId="0" applyNumberFormat="1" applyFont="1" applyFill="1" applyBorder="1" applyAlignment="1">
      <alignment horizontal="center" vertical="center" wrapText="1"/>
    </xf>
    <xf numFmtId="0" fontId="79" fillId="26" borderId="16" xfId="0" applyFont="1" applyFill="1" applyBorder="1" applyAlignment="1">
      <alignment horizontal="right" vertical="center"/>
    </xf>
    <xf numFmtId="166" fontId="79" fillId="26" borderId="22" xfId="177" applyNumberFormat="1" applyFont="1" applyFill="1" applyBorder="1" applyAlignment="1">
      <alignment horizontal="right" vertical="center"/>
    </xf>
    <xf numFmtId="0" fontId="79" fillId="26" borderId="16" xfId="0" applyFont="1" applyFill="1" applyBorder="1" applyAlignment="1">
      <alignment vertical="center" wrapText="1"/>
    </xf>
    <xf numFmtId="0" fontId="79" fillId="26" borderId="0" xfId="0" applyFont="1" applyFill="1" applyAlignment="1">
      <alignment vertical="center"/>
    </xf>
    <xf numFmtId="0" fontId="79" fillId="0" borderId="16" xfId="794" applyFont="1" applyBorder="1" applyAlignment="1">
      <alignment horizontal="center" vertical="center" wrapText="1"/>
    </xf>
    <xf numFmtId="3" fontId="79" fillId="0" borderId="12" xfId="0" applyNumberFormat="1" applyFont="1" applyBorder="1" applyAlignment="1">
      <alignment horizontal="right" vertical="center"/>
    </xf>
    <xf numFmtId="0" fontId="80" fillId="0" borderId="16" xfId="0" applyFont="1" applyBorder="1" applyAlignment="1">
      <alignment horizontal="center" vertical="center" wrapText="1"/>
    </xf>
    <xf numFmtId="0" fontId="80" fillId="0" borderId="0" xfId="0" applyFont="1" applyAlignment="1">
      <alignment horizontal="right" vertical="center" wrapText="1"/>
    </xf>
    <xf numFmtId="3" fontId="4" fillId="0" borderId="0" xfId="0" applyNumberFormat="1" applyFont="1" applyAlignment="1">
      <alignment horizontal="center" vertical="center" wrapText="1"/>
    </xf>
    <xf numFmtId="0" fontId="80" fillId="0" borderId="0" xfId="0" applyFont="1" applyAlignment="1">
      <alignment horizontal="center" vertical="center" wrapText="1"/>
    </xf>
    <xf numFmtId="3" fontId="80" fillId="0" borderId="7" xfId="0" applyNumberFormat="1" applyFont="1" applyBorder="1" applyAlignment="1">
      <alignment horizontal="center" vertical="center" wrapText="1"/>
    </xf>
    <xf numFmtId="0" fontId="4" fillId="0" borderId="19" xfId="0" applyFont="1" applyBorder="1" applyAlignment="1">
      <alignment vertical="center" wrapText="1"/>
    </xf>
    <xf numFmtId="0" fontId="4" fillId="0" borderId="17" xfId="0" applyFont="1" applyBorder="1" applyAlignment="1">
      <alignment vertical="center" wrapText="1"/>
    </xf>
    <xf numFmtId="0" fontId="4" fillId="0" borderId="7" xfId="0" applyFont="1" applyBorder="1" applyAlignment="1">
      <alignment vertical="center" wrapText="1"/>
    </xf>
    <xf numFmtId="0" fontId="4" fillId="0" borderId="7" xfId="794" applyFont="1" applyBorder="1" applyAlignment="1">
      <alignment horizontal="center" vertical="center" wrapText="1"/>
    </xf>
    <xf numFmtId="0" fontId="79" fillId="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Fill="1" applyBorder="1" applyAlignment="1">
      <alignment horizontal="center" vertical="center" wrapText="1"/>
    </xf>
    <xf numFmtId="0" fontId="91" fillId="0" borderId="7" xfId="0" applyFont="1" applyFill="1" applyBorder="1" applyAlignment="1">
      <alignment horizontal="left" vertical="center" wrapText="1"/>
    </xf>
    <xf numFmtId="0" fontId="91" fillId="26" borderId="7" xfId="0" applyFont="1" applyFill="1" applyBorder="1" applyAlignment="1">
      <alignment horizontal="center" vertical="center" wrapText="1"/>
    </xf>
    <xf numFmtId="3" fontId="4" fillId="26" borderId="16" xfId="794" applyNumberFormat="1" applyFont="1" applyFill="1" applyBorder="1" applyAlignment="1">
      <alignment horizontal="left" vertical="center" wrapText="1"/>
    </xf>
    <xf numFmtId="166" fontId="4" fillId="0" borderId="7" xfId="177" applyNumberFormat="1" applyFont="1" applyFill="1" applyBorder="1" applyAlignment="1">
      <alignment horizontal="center" vertical="center" wrapText="1"/>
    </xf>
    <xf numFmtId="166" fontId="79" fillId="0" borderId="16" xfId="0" applyNumberFormat="1" applyFont="1" applyBorder="1" applyAlignment="1">
      <alignment horizontal="center" vertical="center"/>
    </xf>
    <xf numFmtId="0" fontId="79" fillId="0" borderId="0" xfId="0" applyFont="1" applyAlignment="1">
      <alignment vertical="center" wrapText="1"/>
    </xf>
    <xf numFmtId="3" fontId="89" fillId="0" borderId="16" xfId="0" applyNumberFormat="1" applyFont="1" applyBorder="1" applyAlignment="1">
      <alignment horizontal="right" vertical="center"/>
    </xf>
    <xf numFmtId="3" fontId="80" fillId="0" borderId="7" xfId="0" applyNumberFormat="1" applyFont="1" applyBorder="1" applyAlignment="1">
      <alignment vertical="center" wrapText="1"/>
    </xf>
    <xf numFmtId="0" fontId="80" fillId="0" borderId="7" xfId="0" applyFont="1" applyFill="1" applyBorder="1" applyAlignment="1">
      <alignment vertical="center" wrapText="1"/>
    </xf>
    <xf numFmtId="3" fontId="80" fillId="0" borderId="7" xfId="0" applyNumberFormat="1" applyFont="1" applyFill="1" applyBorder="1" applyAlignment="1">
      <alignment horizontal="center" vertical="center" wrapText="1"/>
    </xf>
    <xf numFmtId="3" fontId="79" fillId="0" borderId="0" xfId="0" applyNumberFormat="1" applyFont="1" applyAlignment="1">
      <alignment horizontal="right" vertical="center"/>
    </xf>
    <xf numFmtId="166" fontId="89" fillId="0" borderId="15" xfId="177" applyNumberFormat="1" applyFont="1" applyFill="1" applyBorder="1" applyAlignment="1">
      <alignment horizontal="right" vertical="center" wrapText="1"/>
    </xf>
    <xf numFmtId="166" fontId="89" fillId="0" borderId="16" xfId="177" applyNumberFormat="1" applyFont="1" applyFill="1" applyBorder="1" applyAlignment="1">
      <alignment horizontal="right" vertical="center" wrapText="1"/>
    </xf>
    <xf numFmtId="3" fontId="89" fillId="0" borderId="16" xfId="0" applyNumberFormat="1" applyFont="1" applyBorder="1" applyAlignment="1">
      <alignment horizontal="right" vertical="center" wrapText="1"/>
    </xf>
    <xf numFmtId="0" fontId="79" fillId="0" borderId="0" xfId="0" applyFont="1" applyAlignment="1">
      <alignment horizontal="right" vertical="center"/>
    </xf>
    <xf numFmtId="37" fontId="4" fillId="0" borderId="7" xfId="177" applyNumberFormat="1" applyFont="1" applyFill="1" applyBorder="1" applyAlignment="1">
      <alignment horizontal="center" vertical="center" wrapText="1"/>
    </xf>
    <xf numFmtId="0" fontId="80" fillId="26" borderId="7" xfId="0" applyFont="1" applyFill="1" applyBorder="1" applyAlignment="1">
      <alignment horizontal="center" vertical="center" wrapText="1"/>
    </xf>
    <xf numFmtId="0" fontId="89" fillId="0" borderId="0" xfId="0" applyFont="1" applyAlignment="1">
      <alignment horizontal="right" vertical="center" wrapText="1"/>
    </xf>
    <xf numFmtId="166" fontId="79" fillId="0" borderId="0" xfId="177" applyNumberFormat="1" applyFont="1" applyFill="1" applyBorder="1" applyAlignment="1">
      <alignment horizontal="right" vertical="center"/>
    </xf>
    <xf numFmtId="166" fontId="79" fillId="0" borderId="0" xfId="161" applyNumberFormat="1" applyFont="1" applyFill="1" applyBorder="1" applyAlignment="1">
      <alignment horizontal="right" vertical="center"/>
    </xf>
    <xf numFmtId="0" fontId="4" fillId="0" borderId="19" xfId="561" applyFont="1" applyBorder="1" applyAlignment="1">
      <alignment vertical="center" wrapText="1"/>
    </xf>
    <xf numFmtId="0" fontId="9" fillId="0" borderId="19" xfId="0" applyFont="1" applyBorder="1" applyAlignment="1">
      <alignment horizontal="center" vertical="center" wrapText="1"/>
    </xf>
    <xf numFmtId="3" fontId="4" fillId="0" borderId="19" xfId="0" applyNumberFormat="1" applyFont="1" applyFill="1" applyBorder="1" applyAlignment="1">
      <alignment horizontal="right" vertical="center"/>
    </xf>
    <xf numFmtId="0" fontId="80" fillId="0" borderId="16" xfId="0" applyFont="1" applyBorder="1" applyAlignment="1">
      <alignment horizontal="center" vertical="center" wrapText="1"/>
    </xf>
    <xf numFmtId="0" fontId="80" fillId="0" borderId="16" xfId="561" applyFont="1" applyBorder="1" applyAlignment="1">
      <alignment vertical="center" wrapText="1"/>
    </xf>
    <xf numFmtId="0" fontId="80" fillId="0" borderId="7" xfId="0" applyFont="1" applyFill="1" applyBorder="1" applyAlignment="1">
      <alignment horizontal="center" vertical="center" wrapText="1"/>
    </xf>
    <xf numFmtId="0" fontId="80" fillId="0" borderId="7" xfId="0" applyFont="1" applyFill="1" applyBorder="1" applyAlignment="1">
      <alignment horizontal="center" vertical="center"/>
    </xf>
    <xf numFmtId="0" fontId="80" fillId="0" borderId="7" xfId="0" applyFont="1" applyFill="1" applyBorder="1" applyAlignment="1">
      <alignment vertical="center"/>
    </xf>
    <xf numFmtId="49" fontId="80" fillId="0" borderId="7" xfId="796" applyNumberFormat="1" applyFont="1" applyBorder="1" applyAlignment="1">
      <alignment horizontal="right" vertical="center"/>
    </xf>
    <xf numFmtId="1" fontId="80" fillId="0" borderId="7" xfId="796" applyNumberFormat="1" applyFont="1" applyBorder="1" applyAlignment="1">
      <alignment vertical="center" wrapText="1"/>
    </xf>
    <xf numFmtId="3" fontId="4" fillId="26" borderId="7" xfId="799" applyNumberFormat="1" applyFont="1" applyFill="1" applyBorder="1" applyAlignment="1">
      <alignment horizontal="center" vertical="center" wrapText="1"/>
    </xf>
    <xf numFmtId="0" fontId="80" fillId="0" borderId="7" xfId="0" applyFont="1" applyFill="1" applyBorder="1" applyAlignment="1">
      <alignment horizontal="left" vertical="center" wrapText="1"/>
    </xf>
    <xf numFmtId="0" fontId="83" fillId="0" borderId="7" xfId="561" applyFont="1" applyFill="1" applyBorder="1" applyAlignment="1">
      <alignment vertical="center" wrapText="1"/>
    </xf>
    <xf numFmtId="0" fontId="80" fillId="26" borderId="7" xfId="0" applyFont="1" applyFill="1" applyBorder="1" applyAlignment="1">
      <alignment horizontal="center" vertical="center"/>
    </xf>
    <xf numFmtId="0" fontId="80" fillId="26" borderId="7" xfId="0" applyFont="1" applyFill="1" applyBorder="1" applyAlignment="1">
      <alignment horizontal="left" vertical="center" wrapText="1"/>
    </xf>
    <xf numFmtId="0" fontId="83" fillId="0" borderId="7" xfId="0" applyFont="1" applyFill="1" applyBorder="1" applyAlignment="1">
      <alignment horizontal="center" vertical="center" wrapText="1"/>
    </xf>
    <xf numFmtId="0" fontId="4" fillId="0" borderId="7" xfId="0" applyFont="1" applyFill="1" applyBorder="1" applyAlignment="1">
      <alignment vertical="center"/>
    </xf>
    <xf numFmtId="1" fontId="80" fillId="0" borderId="7" xfId="796" applyNumberFormat="1" applyFont="1" applyBorder="1" applyAlignment="1">
      <alignment horizontal="center" vertical="center" wrapText="1"/>
    </xf>
    <xf numFmtId="0" fontId="4" fillId="0" borderId="7" xfId="0" applyFont="1" applyFill="1" applyBorder="1" applyAlignment="1">
      <alignment horizontal="center" vertical="center"/>
    </xf>
    <xf numFmtId="166" fontId="80" fillId="0" borderId="7" xfId="177" applyNumberFormat="1" applyFont="1" applyFill="1" applyBorder="1" applyAlignment="1">
      <alignment vertical="center" wrapText="1"/>
    </xf>
    <xf numFmtId="166" fontId="80" fillId="0" borderId="7" xfId="177" applyNumberFormat="1" applyFont="1" applyFill="1" applyBorder="1" applyAlignment="1">
      <alignment vertical="center"/>
    </xf>
    <xf numFmtId="3" fontId="80" fillId="26" borderId="7" xfId="0" applyNumberFormat="1" applyFont="1" applyFill="1" applyBorder="1" applyAlignment="1">
      <alignment vertical="center" wrapText="1"/>
    </xf>
    <xf numFmtId="1" fontId="4" fillId="0" borderId="7" xfId="796" applyNumberFormat="1" applyFont="1" applyFill="1" applyBorder="1" applyAlignment="1">
      <alignment horizontal="center" vertical="center" wrapText="1"/>
    </xf>
    <xf numFmtId="212" fontId="4" fillId="0" borderId="7" xfId="0" applyNumberFormat="1" applyFont="1" applyFill="1" applyBorder="1" applyAlignment="1">
      <alignment horizontal="center" vertical="center"/>
    </xf>
    <xf numFmtId="3" fontId="4" fillId="26" borderId="7" xfId="794" applyNumberFormat="1" applyFont="1" applyFill="1" applyBorder="1" applyAlignment="1">
      <alignment horizontal="center" vertical="center" wrapText="1"/>
    </xf>
    <xf numFmtId="49" fontId="94" fillId="0" borderId="7" xfId="796" applyNumberFormat="1" applyFont="1" applyBorder="1" applyAlignment="1">
      <alignment horizontal="right" vertical="center"/>
    </xf>
    <xf numFmtId="1" fontId="94" fillId="0" borderId="7" xfId="796" applyNumberFormat="1" applyFont="1" applyBorder="1" applyAlignment="1">
      <alignment vertical="center" wrapText="1"/>
    </xf>
    <xf numFmtId="0" fontId="95" fillId="0" borderId="7" xfId="794" applyFont="1" applyFill="1" applyBorder="1" applyAlignment="1">
      <alignment horizontal="center" vertical="center"/>
    </xf>
    <xf numFmtId="3" fontId="95" fillId="0" borderId="7" xfId="0" applyNumberFormat="1" applyFont="1" applyBorder="1" applyAlignment="1">
      <alignment vertical="center" wrapText="1"/>
    </xf>
    <xf numFmtId="1" fontId="94" fillId="0" borderId="7" xfId="796" applyNumberFormat="1" applyFont="1" applyBorder="1" applyAlignment="1">
      <alignment horizontal="center" vertical="center" wrapText="1"/>
    </xf>
    <xf numFmtId="0" fontId="95" fillId="0" borderId="7" xfId="0" applyFont="1" applyFill="1" applyBorder="1" applyAlignment="1">
      <alignment horizontal="center" vertical="center" wrapText="1"/>
    </xf>
    <xf numFmtId="0" fontId="86" fillId="26" borderId="7" xfId="0" applyNumberFormat="1" applyFont="1" applyFill="1" applyBorder="1" applyAlignment="1">
      <alignment horizontal="center" vertical="center" wrapText="1"/>
    </xf>
    <xf numFmtId="212" fontId="86" fillId="26" borderId="7" xfId="0" applyNumberFormat="1" applyFont="1" applyFill="1" applyBorder="1" applyAlignment="1">
      <alignment vertical="center"/>
    </xf>
    <xf numFmtId="3" fontId="79" fillId="0" borderId="12" xfId="0" applyNumberFormat="1" applyFont="1" applyBorder="1" applyAlignment="1">
      <alignment horizontal="center" vertical="center"/>
    </xf>
    <xf numFmtId="0" fontId="79" fillId="0" borderId="12" xfId="0" applyFont="1" applyBorder="1" applyAlignment="1">
      <alignment horizontal="center" vertical="center" wrapText="1"/>
    </xf>
    <xf numFmtId="0" fontId="93" fillId="0" borderId="7" xfId="0" applyFont="1" applyFill="1" applyBorder="1" applyAlignment="1">
      <alignment horizontal="left" vertical="center" wrapText="1"/>
    </xf>
    <xf numFmtId="3" fontId="80" fillId="26" borderId="7" xfId="799" applyNumberFormat="1" applyFont="1" applyFill="1" applyBorder="1" applyAlignment="1">
      <alignment horizontal="center" vertical="center" wrapText="1"/>
    </xf>
    <xf numFmtId="3" fontId="80" fillId="26" borderId="7" xfId="799" applyNumberFormat="1" applyFont="1" applyFill="1" applyBorder="1" applyAlignment="1">
      <alignment vertical="center" wrapText="1"/>
    </xf>
    <xf numFmtId="43" fontId="4" fillId="26" borderId="7" xfId="212" applyFont="1" applyFill="1" applyBorder="1" applyAlignment="1">
      <alignment vertical="center" wrapText="1"/>
    </xf>
    <xf numFmtId="1" fontId="4" fillId="0" borderId="7" xfId="796" applyNumberFormat="1" applyFont="1" applyFill="1" applyBorder="1" applyAlignment="1">
      <alignment vertical="center" wrapText="1"/>
    </xf>
    <xf numFmtId="3" fontId="80" fillId="26" borderId="7" xfId="800" applyNumberFormat="1" applyFont="1" applyFill="1" applyBorder="1" applyAlignment="1">
      <alignment horizontal="center" vertical="center" wrapText="1"/>
    </xf>
    <xf numFmtId="3" fontId="4" fillId="0" borderId="7" xfId="177" applyNumberFormat="1" applyFont="1" applyFill="1" applyBorder="1" applyAlignment="1">
      <alignment horizontal="center" vertical="center" wrapText="1"/>
    </xf>
    <xf numFmtId="166" fontId="80" fillId="26" borderId="7" xfId="177" applyNumberFormat="1" applyFont="1" applyFill="1" applyBorder="1" applyAlignment="1">
      <alignment vertical="center" wrapText="1"/>
    </xf>
    <xf numFmtId="3" fontId="79" fillId="0" borderId="19" xfId="0" applyNumberFormat="1" applyFont="1" applyFill="1" applyBorder="1" applyAlignment="1">
      <alignment horizontal="right" vertical="center"/>
    </xf>
    <xf numFmtId="166" fontId="89" fillId="0" borderId="7" xfId="177" applyNumberFormat="1" applyFont="1" applyFill="1" applyBorder="1" applyAlignment="1">
      <alignment vertical="center" wrapText="1"/>
    </xf>
    <xf numFmtId="166" fontId="89" fillId="0" borderId="7" xfId="177" applyNumberFormat="1" applyFont="1" applyFill="1" applyBorder="1" applyAlignment="1">
      <alignment vertical="center"/>
    </xf>
    <xf numFmtId="166" fontId="97" fillId="26" borderId="7" xfId="177" applyNumberFormat="1" applyFont="1" applyFill="1" applyBorder="1" applyAlignment="1">
      <alignment vertical="center"/>
    </xf>
    <xf numFmtId="3" fontId="98" fillId="26" borderId="16" xfId="0" applyNumberFormat="1" applyFont="1" applyFill="1" applyBorder="1" applyAlignment="1">
      <alignment horizontal="center" vertical="center"/>
    </xf>
    <xf numFmtId="3" fontId="98" fillId="26" borderId="16" xfId="0" applyNumberFormat="1" applyFont="1" applyFill="1" applyBorder="1" applyAlignment="1">
      <alignment horizontal="left" vertical="center" wrapText="1"/>
    </xf>
    <xf numFmtId="43" fontId="98" fillId="26" borderId="7" xfId="212" applyFont="1" applyFill="1" applyBorder="1" applyAlignment="1">
      <alignment vertical="center" wrapText="1"/>
    </xf>
    <xf numFmtId="0" fontId="98" fillId="26" borderId="16" xfId="0" applyFont="1" applyFill="1" applyBorder="1" applyAlignment="1">
      <alignment horizontal="center" vertical="center" wrapText="1"/>
    </xf>
    <xf numFmtId="166" fontId="98" fillId="26" borderId="7" xfId="797" applyNumberFormat="1" applyFont="1" applyFill="1" applyBorder="1" applyAlignment="1">
      <alignment horizontal="center" vertical="center" wrapText="1"/>
    </xf>
    <xf numFmtId="212" fontId="98" fillId="26" borderId="7" xfId="0" applyNumberFormat="1" applyFont="1" applyFill="1" applyBorder="1" applyAlignment="1">
      <alignment horizontal="center" vertical="center"/>
    </xf>
    <xf numFmtId="0" fontId="98" fillId="26" borderId="16" xfId="794" applyFont="1" applyFill="1" applyBorder="1" applyAlignment="1">
      <alignment horizontal="center" vertical="center" wrapText="1"/>
    </xf>
    <xf numFmtId="3" fontId="98" fillId="26" borderId="16" xfId="0" applyNumberFormat="1" applyFont="1" applyFill="1" applyBorder="1" applyAlignment="1">
      <alignment horizontal="right" vertical="center"/>
    </xf>
    <xf numFmtId="3" fontId="98" fillId="26" borderId="12" xfId="0" applyNumberFormat="1" applyFont="1" applyFill="1" applyBorder="1" applyAlignment="1">
      <alignment horizontal="right" vertical="center"/>
    </xf>
    <xf numFmtId="0" fontId="98" fillId="26" borderId="0" xfId="0" applyFont="1" applyFill="1" applyAlignment="1">
      <alignment vertical="center"/>
    </xf>
    <xf numFmtId="43" fontId="4" fillId="26" borderId="7" xfId="212" applyFont="1" applyFill="1" applyBorder="1" applyAlignment="1">
      <alignment horizontal="center" vertical="center" wrapText="1"/>
    </xf>
    <xf numFmtId="0" fontId="79" fillId="0" borderId="7" xfId="794" applyFont="1" applyBorder="1" applyAlignment="1">
      <alignment horizontal="center" vertical="center" wrapText="1"/>
    </xf>
    <xf numFmtId="3" fontId="89" fillId="26" borderId="16" xfId="0" applyNumberFormat="1" applyFont="1" applyFill="1" applyBorder="1" applyAlignment="1">
      <alignment horizontal="center" vertical="center"/>
    </xf>
    <xf numFmtId="0" fontId="99" fillId="26" borderId="0" xfId="0" applyFont="1" applyFill="1" applyAlignment="1">
      <alignment vertical="center"/>
    </xf>
    <xf numFmtId="0" fontId="98" fillId="26" borderId="12" xfId="0" applyFont="1" applyFill="1" applyBorder="1" applyAlignment="1">
      <alignment horizontal="center" vertical="center" wrapText="1"/>
    </xf>
    <xf numFmtId="0" fontId="98" fillId="26" borderId="12" xfId="794" applyFont="1" applyFill="1" applyBorder="1" applyAlignment="1">
      <alignment horizontal="center" vertical="center" wrapText="1"/>
    </xf>
    <xf numFmtId="37" fontId="98" fillId="26" borderId="16" xfId="0" applyNumberFormat="1" applyFont="1" applyFill="1" applyBorder="1" applyAlignment="1">
      <alignment horizontal="center" vertical="center"/>
    </xf>
    <xf numFmtId="3" fontId="89" fillId="26" borderId="16" xfId="0" applyNumberFormat="1" applyFont="1" applyFill="1" applyBorder="1" applyAlignment="1">
      <alignment horizontal="left" vertical="center" wrapText="1"/>
    </xf>
    <xf numFmtId="0" fontId="89" fillId="26" borderId="16" xfId="0" applyFont="1" applyFill="1" applyBorder="1" applyAlignment="1">
      <alignment horizontal="center" vertical="center" wrapText="1"/>
    </xf>
    <xf numFmtId="0" fontId="89" fillId="26" borderId="16" xfId="0" applyFont="1" applyFill="1" applyBorder="1" applyAlignment="1">
      <alignment vertical="center" wrapText="1"/>
    </xf>
    <xf numFmtId="0" fontId="89" fillId="26" borderId="0" xfId="0" applyFont="1" applyFill="1" applyAlignment="1">
      <alignment vertical="center"/>
    </xf>
    <xf numFmtId="3" fontId="98" fillId="0" borderId="16" xfId="0" applyNumberFormat="1" applyFont="1" applyBorder="1" applyAlignment="1">
      <alignment horizontal="right" vertical="center"/>
    </xf>
    <xf numFmtId="0" fontId="98" fillId="0" borderId="16" xfId="0" applyFont="1" applyBorder="1" applyAlignment="1">
      <alignment horizontal="left" vertical="center" wrapText="1"/>
    </xf>
    <xf numFmtId="3" fontId="98" fillId="26" borderId="7" xfId="799" applyNumberFormat="1" applyFont="1" applyFill="1" applyBorder="1" applyAlignment="1">
      <alignment horizontal="center" vertical="center" wrapText="1"/>
    </xf>
    <xf numFmtId="0" fontId="98" fillId="0" borderId="16" xfId="0" applyFont="1" applyBorder="1" applyAlignment="1">
      <alignment horizontal="center" vertical="center" wrapText="1"/>
    </xf>
    <xf numFmtId="3" fontId="98" fillId="26" borderId="7" xfId="800" applyNumberFormat="1" applyFont="1" applyFill="1" applyBorder="1" applyAlignment="1">
      <alignment horizontal="center" vertical="center" wrapText="1"/>
    </xf>
    <xf numFmtId="2" fontId="98" fillId="26" borderId="7" xfId="0" applyNumberFormat="1" applyFont="1" applyFill="1" applyBorder="1" applyAlignment="1">
      <alignment horizontal="center" vertical="center" wrapText="1"/>
    </xf>
    <xf numFmtId="166" fontId="98" fillId="26" borderId="7" xfId="177" applyNumberFormat="1" applyFont="1" applyFill="1" applyBorder="1" applyAlignment="1">
      <alignment vertical="center" wrapText="1"/>
    </xf>
    <xf numFmtId="0" fontId="98" fillId="0" borderId="16" xfId="0" applyFont="1" applyBorder="1" applyAlignment="1">
      <alignment vertical="center" wrapText="1"/>
    </xf>
    <xf numFmtId="0" fontId="98" fillId="0" borderId="0" xfId="0" applyFont="1" applyAlignment="1">
      <alignment vertical="center"/>
    </xf>
    <xf numFmtId="3" fontId="98" fillId="0" borderId="16" xfId="0" applyNumberFormat="1" applyFont="1" applyBorder="1" applyAlignment="1">
      <alignment horizontal="center" vertical="center"/>
    </xf>
    <xf numFmtId="3" fontId="98" fillId="0" borderId="16" xfId="0" applyNumberFormat="1" applyFont="1" applyBorder="1" applyAlignment="1">
      <alignment horizontal="left" vertical="center" wrapText="1"/>
    </xf>
    <xf numFmtId="0" fontId="98" fillId="26" borderId="7" xfId="0" applyFont="1" applyFill="1" applyBorder="1" applyAlignment="1">
      <alignment vertical="center" wrapText="1"/>
    </xf>
    <xf numFmtId="3" fontId="98" fillId="26" borderId="16" xfId="0" applyNumberFormat="1" applyFont="1" applyFill="1" applyBorder="1" applyAlignment="1">
      <alignment vertical="center" wrapText="1"/>
    </xf>
    <xf numFmtId="166" fontId="98" fillId="0" borderId="7" xfId="177" applyNumberFormat="1" applyFont="1" applyFill="1" applyBorder="1" applyAlignment="1">
      <alignment horizontal="center" vertical="center" wrapText="1"/>
    </xf>
    <xf numFmtId="0" fontId="98" fillId="26" borderId="7" xfId="0" applyFont="1" applyFill="1" applyBorder="1" applyAlignment="1">
      <alignment horizontal="center" vertical="center"/>
    </xf>
    <xf numFmtId="0" fontId="98" fillId="0" borderId="7" xfId="0" applyFont="1" applyBorder="1" applyAlignment="1">
      <alignment vertical="center" wrapText="1"/>
    </xf>
    <xf numFmtId="0" fontId="98" fillId="0" borderId="7" xfId="794" applyFont="1" applyBorder="1" applyAlignment="1">
      <alignment horizontal="center" vertical="center" wrapText="1"/>
    </xf>
    <xf numFmtId="0" fontId="98" fillId="26" borderId="7" xfId="0" applyFont="1" applyFill="1" applyBorder="1" applyAlignment="1">
      <alignment horizontal="center" vertical="center" wrapText="1"/>
    </xf>
    <xf numFmtId="166" fontId="98" fillId="0" borderId="7" xfId="235" applyNumberFormat="1" applyFont="1" applyBorder="1" applyAlignment="1">
      <alignment horizontal="right" vertical="center"/>
    </xf>
    <xf numFmtId="0" fontId="96" fillId="0" borderId="7" xfId="794" applyFont="1" applyBorder="1" applyAlignment="1">
      <alignment horizontal="center" vertical="center" wrapText="1"/>
    </xf>
    <xf numFmtId="0" fontId="98" fillId="26" borderId="7" xfId="0" applyFont="1" applyFill="1" applyBorder="1" applyAlignment="1">
      <alignment vertical="center"/>
    </xf>
    <xf numFmtId="166" fontId="98" fillId="26" borderId="7" xfId="177" applyNumberFormat="1" applyFont="1" applyFill="1" applyBorder="1" applyAlignment="1">
      <alignment horizontal="center" vertical="center"/>
    </xf>
    <xf numFmtId="166" fontId="98" fillId="26" borderId="7" xfId="0" applyNumberFormat="1" applyFont="1" applyFill="1" applyBorder="1" applyAlignment="1">
      <alignment vertical="center"/>
    </xf>
    <xf numFmtId="0" fontId="80" fillId="0" borderId="7" xfId="0" quotePrefix="1" applyFont="1" applyBorder="1" applyAlignment="1">
      <alignment horizontal="center" vertical="center"/>
    </xf>
    <xf numFmtId="0" fontId="80" fillId="0" borderId="7" xfId="0" applyFont="1" applyBorder="1" applyAlignment="1">
      <alignment horizontal="left" vertical="center" wrapText="1"/>
    </xf>
    <xf numFmtId="0" fontId="80" fillId="0" borderId="7" xfId="0" applyFont="1" applyBorder="1" applyAlignment="1">
      <alignment vertical="center" wrapText="1"/>
    </xf>
    <xf numFmtId="0" fontId="4" fillId="0" borderId="7" xfId="0" applyFont="1" applyBorder="1" applyAlignment="1">
      <alignment horizontal="center" vertical="center" wrapText="1"/>
    </xf>
    <xf numFmtId="166" fontId="80" fillId="0" borderId="7" xfId="801" applyNumberFormat="1" applyFont="1" applyBorder="1" applyAlignment="1">
      <alignment vertical="center"/>
    </xf>
    <xf numFmtId="0" fontId="80" fillId="0" borderId="7" xfId="794" applyFont="1" applyBorder="1" applyAlignment="1">
      <alignment horizontal="center" vertical="center" wrapText="1"/>
    </xf>
    <xf numFmtId="166" fontId="80" fillId="0" borderId="7" xfId="0" applyNumberFormat="1" applyFont="1" applyFill="1" applyBorder="1" applyAlignment="1">
      <alignment vertical="center"/>
    </xf>
    <xf numFmtId="166" fontId="80" fillId="0" borderId="7" xfId="801" applyNumberFormat="1" applyFont="1" applyFill="1" applyBorder="1" applyAlignment="1">
      <alignment vertical="center"/>
    </xf>
    <xf numFmtId="3" fontId="4" fillId="0" borderId="12" xfId="0" applyNumberFormat="1" applyFont="1" applyBorder="1" applyAlignment="1">
      <alignment vertical="center" wrapText="1"/>
    </xf>
    <xf numFmtId="0" fontId="4" fillId="0" borderId="17" xfId="561" applyFont="1" applyBorder="1" applyAlignment="1">
      <alignment vertical="center" wrapText="1"/>
    </xf>
    <xf numFmtId="3" fontId="79" fillId="26" borderId="7" xfId="0" applyNumberFormat="1" applyFont="1" applyFill="1" applyBorder="1" applyAlignment="1">
      <alignment vertical="center" wrapText="1"/>
    </xf>
    <xf numFmtId="0" fontId="80" fillId="0" borderId="16" xfId="0" applyFont="1" applyBorder="1" applyAlignment="1">
      <alignment horizontal="center" vertical="center" wrapText="1"/>
    </xf>
    <xf numFmtId="3" fontId="83" fillId="0" borderId="16" xfId="799" applyNumberFormat="1" applyFont="1" applyBorder="1" applyAlignment="1">
      <alignment horizontal="center" vertical="center" wrapText="1"/>
    </xf>
    <xf numFmtId="0" fontId="83" fillId="0" borderId="16" xfId="518" applyFont="1" applyBorder="1" applyAlignment="1">
      <alignment horizontal="left" vertical="center" wrapText="1"/>
    </xf>
    <xf numFmtId="3" fontId="83" fillId="0" borderId="16" xfId="0" applyNumberFormat="1" applyFont="1" applyBorder="1" applyAlignment="1">
      <alignment vertical="center" wrapText="1"/>
    </xf>
    <xf numFmtId="37" fontId="83" fillId="0" borderId="16" xfId="177" applyNumberFormat="1" applyFont="1" applyFill="1" applyBorder="1" applyAlignment="1">
      <alignment horizontal="center" vertical="center" wrapText="1"/>
    </xf>
    <xf numFmtId="212" fontId="83" fillId="0" borderId="16" xfId="800" applyNumberFormat="1" applyFont="1" applyBorder="1" applyAlignment="1">
      <alignment horizontal="right" vertical="center" wrapText="1"/>
    </xf>
    <xf numFmtId="3" fontId="83" fillId="0" borderId="16" xfId="0" applyNumberFormat="1" applyFont="1" applyBorder="1" applyAlignment="1">
      <alignment horizontal="left" vertical="center" wrapText="1"/>
    </xf>
    <xf numFmtId="3" fontId="83" fillId="0" borderId="16" xfId="0" applyNumberFormat="1" applyFont="1" applyBorder="1" applyAlignment="1">
      <alignment horizontal="center" vertical="center" wrapText="1"/>
    </xf>
    <xf numFmtId="166" fontId="83" fillId="0" borderId="16" xfId="177" applyNumberFormat="1" applyFont="1" applyFill="1" applyBorder="1" applyAlignment="1">
      <alignment horizontal="right" vertical="center"/>
    </xf>
    <xf numFmtId="0" fontId="83" fillId="0" borderId="0" xfId="0" applyFont="1" applyAlignment="1">
      <alignment vertical="center"/>
    </xf>
    <xf numFmtId="0" fontId="81" fillId="0" borderId="16" xfId="518" quotePrefix="1" applyFont="1" applyBorder="1" applyAlignment="1">
      <alignment horizontal="center" vertical="center"/>
    </xf>
    <xf numFmtId="0" fontId="81" fillId="0" borderId="16" xfId="0" applyFont="1" applyBorder="1" applyAlignment="1">
      <alignment horizontal="left" vertical="center" wrapText="1"/>
    </xf>
    <xf numFmtId="0" fontId="100" fillId="26" borderId="7" xfId="0" applyFont="1" applyFill="1" applyBorder="1" applyAlignment="1">
      <alignment vertical="center" wrapText="1"/>
    </xf>
    <xf numFmtId="166" fontId="100" fillId="0" borderId="7" xfId="177" applyNumberFormat="1" applyFont="1" applyFill="1" applyBorder="1" applyAlignment="1">
      <alignment horizontal="center" vertical="center" wrapText="1"/>
    </xf>
    <xf numFmtId="0" fontId="100" fillId="26" borderId="7" xfId="0" applyFont="1" applyFill="1" applyBorder="1" applyAlignment="1">
      <alignment horizontal="center" vertical="center"/>
    </xf>
    <xf numFmtId="0" fontId="100" fillId="0" borderId="7" xfId="0" applyFont="1" applyBorder="1" applyAlignment="1">
      <alignment vertical="center" wrapText="1"/>
    </xf>
    <xf numFmtId="0" fontId="100" fillId="0" borderId="7" xfId="794" applyFont="1" applyBorder="1" applyAlignment="1">
      <alignment horizontal="center" vertical="center" wrapText="1"/>
    </xf>
    <xf numFmtId="0" fontId="100" fillId="26" borderId="7" xfId="0" applyFont="1" applyFill="1" applyBorder="1" applyAlignment="1">
      <alignment horizontal="center" vertical="center" wrapText="1"/>
    </xf>
    <xf numFmtId="166" fontId="100" fillId="0" borderId="7" xfId="235" applyNumberFormat="1" applyFont="1" applyBorder="1" applyAlignment="1">
      <alignment horizontal="right" vertical="center"/>
    </xf>
    <xf numFmtId="0" fontId="81" fillId="0" borderId="16" xfId="0" applyFont="1" applyBorder="1" applyAlignment="1">
      <alignment vertical="center" wrapText="1"/>
    </xf>
    <xf numFmtId="0" fontId="100" fillId="0" borderId="7" xfId="0" applyFont="1" applyFill="1" applyBorder="1" applyAlignment="1">
      <alignment horizontal="center" vertical="center" wrapText="1"/>
    </xf>
    <xf numFmtId="3" fontId="101" fillId="26" borderId="16" xfId="0" applyNumberFormat="1" applyFont="1" applyFill="1" applyBorder="1" applyAlignment="1">
      <alignment horizontal="center" vertical="center"/>
    </xf>
    <xf numFmtId="3" fontId="101" fillId="26" borderId="16" xfId="0" applyNumberFormat="1" applyFont="1" applyFill="1" applyBorder="1" applyAlignment="1">
      <alignment horizontal="left" vertical="center" wrapText="1"/>
    </xf>
    <xf numFmtId="43" fontId="101" fillId="26" borderId="7" xfId="212" applyFont="1" applyFill="1" applyBorder="1" applyAlignment="1">
      <alignment vertical="center" wrapText="1"/>
    </xf>
    <xf numFmtId="0" fontId="101" fillId="26" borderId="16" xfId="0" applyFont="1" applyFill="1" applyBorder="1" applyAlignment="1">
      <alignment horizontal="center" vertical="center" wrapText="1"/>
    </xf>
    <xf numFmtId="166" fontId="101" fillId="26" borderId="7" xfId="797" applyNumberFormat="1" applyFont="1" applyFill="1" applyBorder="1" applyAlignment="1">
      <alignment horizontal="center" vertical="center" wrapText="1"/>
    </xf>
    <xf numFmtId="212" fontId="101" fillId="26" borderId="7" xfId="0" applyNumberFormat="1" applyFont="1" applyFill="1" applyBorder="1" applyAlignment="1">
      <alignment horizontal="center" vertical="center"/>
    </xf>
    <xf numFmtId="166" fontId="102" fillId="26" borderId="7" xfId="177" applyNumberFormat="1" applyFont="1" applyFill="1" applyBorder="1" applyAlignment="1">
      <alignment vertical="center"/>
    </xf>
    <xf numFmtId="0" fontId="101" fillId="26" borderId="0" xfId="0" applyFont="1" applyFill="1" applyAlignment="1">
      <alignment vertical="center"/>
    </xf>
    <xf numFmtId="3" fontId="101" fillId="0" borderId="16" xfId="0" applyNumberFormat="1" applyFont="1" applyBorder="1" applyAlignment="1">
      <alignment horizontal="center" vertical="center"/>
    </xf>
    <xf numFmtId="3" fontId="101" fillId="0" borderId="16" xfId="0" applyNumberFormat="1" applyFont="1" applyBorder="1" applyAlignment="1">
      <alignment horizontal="left" vertical="center" wrapText="1"/>
    </xf>
    <xf numFmtId="0" fontId="101" fillId="26" borderId="7" xfId="0" applyFont="1" applyFill="1" applyBorder="1" applyAlignment="1">
      <alignment vertical="center"/>
    </xf>
    <xf numFmtId="0" fontId="101" fillId="0" borderId="16" xfId="0" applyFont="1" applyBorder="1" applyAlignment="1">
      <alignment horizontal="center" vertical="center" wrapText="1"/>
    </xf>
    <xf numFmtId="166" fontId="101" fillId="26" borderId="7" xfId="177" applyNumberFormat="1" applyFont="1" applyFill="1" applyBorder="1" applyAlignment="1">
      <alignment horizontal="center" vertical="center"/>
    </xf>
    <xf numFmtId="0" fontId="101" fillId="26" borderId="7" xfId="0" applyFont="1" applyFill="1" applyBorder="1" applyAlignment="1">
      <alignment horizontal="center" vertical="center"/>
    </xf>
    <xf numFmtId="0" fontId="101" fillId="0" borderId="7" xfId="794" applyFont="1" applyBorder="1" applyAlignment="1">
      <alignment horizontal="center" vertical="center" wrapText="1"/>
    </xf>
    <xf numFmtId="166" fontId="101" fillId="26" borderId="7" xfId="0" applyNumberFormat="1" applyFont="1" applyFill="1" applyBorder="1" applyAlignment="1">
      <alignment vertical="center"/>
    </xf>
    <xf numFmtId="0" fontId="101" fillId="0" borderId="16" xfId="0" applyFont="1" applyBorder="1" applyAlignment="1">
      <alignment vertical="center" wrapText="1"/>
    </xf>
    <xf numFmtId="0" fontId="101" fillId="0" borderId="0" xfId="0" applyFont="1" applyAlignment="1">
      <alignment vertical="center"/>
    </xf>
    <xf numFmtId="0" fontId="94" fillId="0" borderId="7" xfId="794" applyFont="1" applyFill="1" applyBorder="1" applyAlignment="1">
      <alignment horizontal="center" vertical="center"/>
    </xf>
    <xf numFmtId="3" fontId="94" fillId="0" borderId="7" xfId="0" applyNumberFormat="1" applyFont="1" applyBorder="1" applyAlignment="1">
      <alignment vertical="center" wrapText="1"/>
    </xf>
    <xf numFmtId="0" fontId="94" fillId="0" borderId="7" xfId="0" applyFont="1" applyFill="1" applyBorder="1" applyAlignment="1">
      <alignment horizontal="center" vertical="center" wrapText="1"/>
    </xf>
    <xf numFmtId="0" fontId="93" fillId="26" borderId="7" xfId="0" applyNumberFormat="1" applyFont="1" applyFill="1" applyBorder="1" applyAlignment="1">
      <alignment horizontal="center" vertical="center" wrapText="1"/>
    </xf>
    <xf numFmtId="166" fontId="89" fillId="0" borderId="16" xfId="161" applyNumberFormat="1" applyFont="1" applyBorder="1" applyAlignment="1">
      <alignment horizontal="right" vertical="center"/>
    </xf>
    <xf numFmtId="0" fontId="89" fillId="0" borderId="16" xfId="0" applyFont="1" applyBorder="1" applyAlignment="1">
      <alignment vertical="center" wrapText="1"/>
    </xf>
    <xf numFmtId="0" fontId="89" fillId="0" borderId="0" xfId="0" applyFont="1" applyAlignment="1">
      <alignment vertical="center"/>
    </xf>
    <xf numFmtId="3" fontId="4" fillId="0" borderId="12" xfId="0" applyNumberFormat="1" applyFont="1" applyBorder="1" applyAlignment="1">
      <alignment horizontal="right" vertical="center"/>
    </xf>
    <xf numFmtId="0" fontId="94" fillId="0" borderId="12" xfId="794" applyFont="1" applyFill="1" applyBorder="1" applyAlignment="1">
      <alignment horizontal="center" vertical="center"/>
    </xf>
    <xf numFmtId="3" fontId="94" fillId="0" borderId="12" xfId="0" applyNumberFormat="1" applyFont="1" applyBorder="1" applyAlignment="1">
      <alignment vertical="center" wrapText="1"/>
    </xf>
    <xf numFmtId="0" fontId="94" fillId="0" borderId="12" xfId="0" applyFont="1" applyFill="1" applyBorder="1" applyAlignment="1">
      <alignment horizontal="center" vertical="center" wrapText="1"/>
    </xf>
    <xf numFmtId="166" fontId="89" fillId="0" borderId="12" xfId="161" applyNumberFormat="1" applyFont="1" applyBorder="1" applyAlignment="1">
      <alignment horizontal="right" vertical="center"/>
    </xf>
    <xf numFmtId="3" fontId="80" fillId="0" borderId="12" xfId="0" applyNumberFormat="1" applyFont="1" applyBorder="1" applyAlignment="1">
      <alignment horizontal="right" vertical="center"/>
    </xf>
    <xf numFmtId="0" fontId="89" fillId="0" borderId="12" xfId="0" applyFont="1" applyBorder="1" applyAlignment="1">
      <alignment vertical="center" wrapText="1"/>
    </xf>
    <xf numFmtId="166" fontId="4" fillId="26" borderId="7" xfId="177" applyNumberFormat="1" applyFont="1" applyFill="1" applyBorder="1" applyAlignment="1">
      <alignment horizontal="center" vertical="center" wrapText="1"/>
    </xf>
    <xf numFmtId="1" fontId="4" fillId="0" borderId="12" xfId="796" applyNumberFormat="1" applyFont="1" applyFill="1" applyBorder="1" applyAlignment="1">
      <alignment horizontal="left" vertical="center" wrapText="1"/>
    </xf>
    <xf numFmtId="3" fontId="4" fillId="26" borderId="12" xfId="800" applyNumberFormat="1" applyFont="1" applyFill="1" applyBorder="1" applyAlignment="1">
      <alignment horizontal="center" vertical="center" wrapText="1"/>
    </xf>
    <xf numFmtId="166" fontId="80" fillId="26" borderId="7" xfId="0" applyNumberFormat="1" applyFont="1" applyFill="1" applyBorder="1" applyAlignment="1">
      <alignment vertical="center"/>
    </xf>
    <xf numFmtId="0" fontId="82" fillId="0" borderId="7" xfId="0" applyFont="1" applyBorder="1" applyAlignment="1">
      <alignment horizontal="center" vertical="center"/>
    </xf>
    <xf numFmtId="0" fontId="4" fillId="0" borderId="7" xfId="0" applyFont="1" applyBorder="1" applyAlignment="1">
      <alignment vertical="center"/>
    </xf>
    <xf numFmtId="0" fontId="81" fillId="0" borderId="7" xfId="0" applyFont="1" applyBorder="1" applyAlignment="1">
      <alignment vertical="center" wrapText="1"/>
    </xf>
    <xf numFmtId="0" fontId="80" fillId="0" borderId="7" xfId="0" applyFont="1" applyBorder="1" applyAlignment="1">
      <alignment vertical="center"/>
    </xf>
    <xf numFmtId="0" fontId="79" fillId="0" borderId="7" xfId="0" applyFont="1" applyBorder="1" applyAlignment="1">
      <alignment vertical="center"/>
    </xf>
    <xf numFmtId="0" fontId="81" fillId="0" borderId="7" xfId="0" applyFont="1" applyBorder="1" applyAlignment="1">
      <alignment vertical="center"/>
    </xf>
    <xf numFmtId="0" fontId="4" fillId="26" borderId="7" xfId="0" applyFont="1" applyFill="1" applyBorder="1" applyAlignment="1">
      <alignment vertical="center"/>
    </xf>
    <xf numFmtId="0" fontId="80" fillId="0" borderId="17" xfId="0" applyFont="1" applyBorder="1" applyAlignment="1">
      <alignment vertical="center" wrapText="1"/>
    </xf>
    <xf numFmtId="0" fontId="80" fillId="0" borderId="19" xfId="0" applyFont="1" applyBorder="1" applyAlignment="1">
      <alignment vertical="center" wrapText="1"/>
    </xf>
    <xf numFmtId="166" fontId="96" fillId="0" borderId="16" xfId="177" applyNumberFormat="1" applyFont="1" applyFill="1" applyBorder="1" applyAlignment="1">
      <alignment horizontal="right" vertical="center"/>
    </xf>
    <xf numFmtId="166" fontId="4" fillId="0" borderId="0" xfId="0" applyNumberFormat="1" applyFont="1" applyAlignment="1">
      <alignment horizontal="center" vertical="center"/>
    </xf>
    <xf numFmtId="0" fontId="80" fillId="0" borderId="16" xfId="0" applyFont="1" applyBorder="1" applyAlignment="1">
      <alignment horizontal="center" vertical="center" wrapText="1"/>
    </xf>
    <xf numFmtId="0" fontId="80" fillId="0" borderId="17" xfId="0" applyFont="1" applyBorder="1" applyAlignment="1">
      <alignment horizontal="center" vertical="center" wrapText="1"/>
    </xf>
    <xf numFmtId="3" fontId="96" fillId="0" borderId="19" xfId="0" applyNumberFormat="1" applyFont="1" applyFill="1" applyBorder="1" applyAlignment="1">
      <alignment horizontal="right" vertical="center"/>
    </xf>
    <xf numFmtId="3" fontId="96" fillId="0" borderId="16" xfId="0" applyNumberFormat="1" applyFont="1" applyFill="1" applyBorder="1" applyAlignment="1">
      <alignment horizontal="right" vertical="center"/>
    </xf>
    <xf numFmtId="166" fontId="79" fillId="0" borderId="16" xfId="177" applyNumberFormat="1" applyFont="1" applyBorder="1" applyAlignment="1">
      <alignment horizontal="right" vertical="center"/>
    </xf>
    <xf numFmtId="3" fontId="95" fillId="0" borderId="3" xfId="0" applyNumberFormat="1" applyFont="1" applyBorder="1" applyAlignment="1">
      <alignment vertical="center" wrapText="1"/>
    </xf>
    <xf numFmtId="0" fontId="4" fillId="0" borderId="3" xfId="0" applyFont="1" applyFill="1" applyBorder="1" applyAlignment="1">
      <alignment horizontal="center" vertical="center" wrapText="1"/>
    </xf>
    <xf numFmtId="0" fontId="95" fillId="0" borderId="3" xfId="0" applyFont="1" applyFill="1" applyBorder="1" applyAlignment="1">
      <alignment horizontal="center" vertical="center" wrapText="1"/>
    </xf>
    <xf numFmtId="0" fontId="86" fillId="26" borderId="3" xfId="0" applyNumberFormat="1" applyFont="1" applyFill="1" applyBorder="1" applyAlignment="1">
      <alignment horizontal="center" vertical="center" wrapText="1"/>
    </xf>
    <xf numFmtId="3" fontId="4" fillId="26" borderId="3" xfId="0" applyNumberFormat="1" applyFont="1" applyFill="1" applyBorder="1" applyAlignment="1">
      <alignment vertical="center" wrapText="1"/>
    </xf>
    <xf numFmtId="0" fontId="4" fillId="0" borderId="3" xfId="794" applyFont="1" applyBorder="1" applyAlignment="1">
      <alignment horizontal="center" vertical="center" wrapText="1"/>
    </xf>
    <xf numFmtId="0" fontId="4" fillId="26" borderId="3" xfId="0" applyFont="1" applyFill="1" applyBorder="1" applyAlignment="1">
      <alignment horizontal="center" vertical="center" wrapText="1"/>
    </xf>
    <xf numFmtId="166" fontId="79" fillId="0" borderId="19" xfId="177" applyNumberFormat="1" applyFont="1" applyBorder="1" applyAlignment="1">
      <alignment horizontal="right" vertical="center"/>
    </xf>
    <xf numFmtId="0" fontId="79" fillId="0" borderId="7" xfId="0" applyFont="1" applyFill="1" applyBorder="1" applyAlignment="1">
      <alignment vertical="center" wrapText="1"/>
    </xf>
    <xf numFmtId="1" fontId="79" fillId="0" borderId="7" xfId="796" applyNumberFormat="1" applyFont="1" applyFill="1" applyBorder="1" applyAlignment="1">
      <alignment vertical="center" wrapText="1"/>
    </xf>
    <xf numFmtId="3" fontId="79" fillId="0" borderId="7" xfId="177" applyNumberFormat="1" applyFont="1" applyFill="1" applyBorder="1" applyAlignment="1">
      <alignment horizontal="center" vertical="center" wrapText="1"/>
    </xf>
    <xf numFmtId="212" fontId="79" fillId="0" borderId="7" xfId="0" applyNumberFormat="1" applyFont="1" applyFill="1" applyBorder="1" applyAlignment="1">
      <alignment horizontal="center" vertical="center"/>
    </xf>
    <xf numFmtId="43" fontId="79" fillId="26" borderId="7" xfId="212" applyFont="1" applyFill="1" applyBorder="1" applyAlignment="1">
      <alignment horizontal="center" vertical="center" wrapText="1"/>
    </xf>
    <xf numFmtId="166" fontId="79" fillId="0" borderId="12" xfId="177" applyNumberFormat="1" applyFont="1" applyBorder="1" applyAlignment="1">
      <alignment horizontal="right" vertical="center"/>
    </xf>
    <xf numFmtId="0" fontId="79" fillId="0" borderId="12" xfId="0" applyFont="1" applyBorder="1" applyAlignment="1">
      <alignment horizontal="right" vertical="center"/>
    </xf>
    <xf numFmtId="0" fontId="4" fillId="0" borderId="7" xfId="0" applyFont="1" applyFill="1" applyBorder="1" applyAlignment="1">
      <alignment vertical="center" wrapText="1"/>
    </xf>
    <xf numFmtId="0" fontId="96" fillId="0" borderId="16" xfId="0" applyFont="1" applyFill="1" applyBorder="1" applyAlignment="1">
      <alignment horizontal="right" vertical="center"/>
    </xf>
    <xf numFmtId="37" fontId="98" fillId="26" borderId="19" xfId="0" applyNumberFormat="1" applyFont="1" applyFill="1" applyBorder="1" applyAlignment="1">
      <alignment horizontal="center" vertical="center"/>
    </xf>
    <xf numFmtId="3" fontId="80" fillId="26" borderId="3" xfId="794" applyNumberFormat="1" applyFont="1" applyFill="1" applyBorder="1" applyAlignment="1">
      <alignment horizontal="left" vertical="center" wrapText="1"/>
    </xf>
    <xf numFmtId="0" fontId="80" fillId="26" borderId="3" xfId="0" applyFont="1" applyFill="1" applyBorder="1" applyAlignment="1">
      <alignment vertical="center" wrapText="1"/>
    </xf>
    <xf numFmtId="0" fontId="89" fillId="0" borderId="19" xfId="0" applyFont="1" applyBorder="1" applyAlignment="1">
      <alignment horizontal="center" vertical="center" wrapText="1"/>
    </xf>
    <xf numFmtId="37" fontId="80" fillId="0" borderId="3" xfId="177" applyNumberFormat="1" applyFont="1" applyFill="1" applyBorder="1" applyAlignment="1">
      <alignment horizontal="center" vertical="center" wrapText="1"/>
    </xf>
    <xf numFmtId="212" fontId="80" fillId="26" borderId="3" xfId="800" applyNumberFormat="1" applyFont="1" applyFill="1" applyBorder="1" applyAlignment="1">
      <alignment horizontal="center" vertical="center" wrapText="1"/>
    </xf>
    <xf numFmtId="0" fontId="92" fillId="0" borderId="3" xfId="0" applyFont="1" applyBorder="1" applyAlignment="1">
      <alignment vertical="center" wrapText="1"/>
    </xf>
    <xf numFmtId="0" fontId="80" fillId="0" borderId="3" xfId="794" applyFont="1" applyBorder="1" applyAlignment="1">
      <alignment horizontal="center" vertical="center" wrapText="1"/>
    </xf>
    <xf numFmtId="166" fontId="80" fillId="0" borderId="3" xfId="177" applyNumberFormat="1" applyFont="1" applyFill="1" applyBorder="1" applyAlignment="1">
      <alignment horizontal="center" vertical="center" wrapText="1"/>
    </xf>
    <xf numFmtId="213" fontId="80" fillId="0" borderId="16" xfId="803" applyNumberFormat="1" applyFont="1" applyFill="1" applyBorder="1" applyAlignment="1">
      <alignment vertical="center" wrapText="1"/>
    </xf>
    <xf numFmtId="212" fontId="93" fillId="26" borderId="7" xfId="0" applyNumberFormat="1" applyFont="1" applyFill="1" applyBorder="1" applyAlignment="1">
      <alignment horizontal="center" vertical="center"/>
    </xf>
    <xf numFmtId="9" fontId="80" fillId="0" borderId="16" xfId="803" applyNumberFormat="1" applyFont="1" applyFill="1" applyBorder="1" applyAlignment="1">
      <alignment vertical="center" wrapText="1"/>
    </xf>
    <xf numFmtId="0" fontId="89" fillId="0" borderId="7" xfId="0" applyFont="1" applyFill="1" applyBorder="1" applyAlignment="1">
      <alignment horizontal="center" vertical="center"/>
    </xf>
    <xf numFmtId="0" fontId="89" fillId="0" borderId="7" xfId="0" applyFont="1" applyFill="1" applyBorder="1" applyAlignment="1">
      <alignment vertical="center"/>
    </xf>
    <xf numFmtId="3" fontId="89" fillId="0" borderId="16" xfId="0" applyNumberFormat="1" applyFont="1" applyBorder="1" applyAlignment="1">
      <alignment vertical="center" wrapText="1"/>
    </xf>
    <xf numFmtId="49" fontId="89" fillId="0" borderId="7" xfId="796" applyNumberFormat="1" applyFont="1" applyBorder="1" applyAlignment="1">
      <alignment horizontal="right" vertical="center"/>
    </xf>
    <xf numFmtId="1" fontId="89" fillId="0" borderId="7" xfId="796" applyNumberFormat="1" applyFont="1" applyBorder="1" applyAlignment="1">
      <alignment vertical="center" wrapText="1"/>
    </xf>
    <xf numFmtId="1" fontId="89" fillId="0" borderId="7" xfId="796" applyNumberFormat="1" applyFont="1" applyBorder="1" applyAlignment="1">
      <alignment horizontal="center" vertical="center" wrapText="1"/>
    </xf>
    <xf numFmtId="0" fontId="79" fillId="0" borderId="0" xfId="0" applyFont="1" applyFill="1" applyAlignment="1">
      <alignment horizontal="center" vertical="center"/>
    </xf>
    <xf numFmtId="1" fontId="79" fillId="0" borderId="7" xfId="796" applyNumberFormat="1" applyFont="1" applyBorder="1" applyAlignment="1">
      <alignment horizontal="center" vertical="center" wrapText="1"/>
    </xf>
    <xf numFmtId="3" fontId="79" fillId="26" borderId="7" xfId="799" applyNumberFormat="1" applyFont="1" applyFill="1" applyBorder="1" applyAlignment="1">
      <alignment horizontal="center" vertical="center" wrapText="1"/>
    </xf>
    <xf numFmtId="0" fontId="79" fillId="0" borderId="7" xfId="0" applyFont="1" applyFill="1" applyBorder="1" applyAlignment="1">
      <alignment horizontal="center" vertical="center"/>
    </xf>
    <xf numFmtId="3" fontId="79" fillId="26" borderId="7"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7" xfId="0" applyFont="1" applyFill="1" applyBorder="1" applyAlignment="1">
      <alignment horizontal="center" vertical="center" wrapText="1"/>
    </xf>
    <xf numFmtId="3" fontId="80" fillId="0" borderId="17" xfId="799" applyNumberFormat="1" applyFont="1" applyBorder="1" applyAlignment="1">
      <alignment horizontal="center" vertical="center" wrapText="1"/>
    </xf>
    <xf numFmtId="0" fontId="80" fillId="0" borderId="17" xfId="0" applyFont="1" applyBorder="1" applyAlignment="1">
      <alignment horizontal="left" vertical="center" wrapText="1"/>
    </xf>
    <xf numFmtId="3" fontId="4" fillId="0" borderId="17" xfId="0" applyNumberFormat="1" applyFont="1" applyBorder="1" applyAlignment="1">
      <alignment vertical="center" wrapText="1"/>
    </xf>
    <xf numFmtId="37" fontId="4" fillId="0" borderId="17" xfId="177" applyNumberFormat="1" applyFont="1" applyFill="1" applyBorder="1" applyAlignment="1">
      <alignment horizontal="center" vertical="center" wrapText="1"/>
    </xf>
    <xf numFmtId="3" fontId="4" fillId="0" borderId="17" xfId="800" applyNumberFormat="1" applyFont="1" applyBorder="1" applyAlignment="1">
      <alignment horizontal="center" vertical="center" wrapText="1"/>
    </xf>
    <xf numFmtId="0" fontId="4" fillId="0" borderId="17" xfId="794" applyFont="1" applyBorder="1" applyAlignment="1">
      <alignment horizontal="center" vertical="center" wrapText="1"/>
    </xf>
    <xf numFmtId="166" fontId="80" fillId="0" borderId="17" xfId="177" applyNumberFormat="1" applyFont="1" applyFill="1" applyBorder="1" applyAlignment="1">
      <alignment horizontal="right" vertical="center" wrapText="1"/>
    </xf>
    <xf numFmtId="0" fontId="9" fillId="0" borderId="7" xfId="0" applyFont="1" applyBorder="1" applyAlignment="1">
      <alignment horizontal="center" vertical="center" wrapText="1"/>
    </xf>
    <xf numFmtId="3" fontId="4" fillId="0" borderId="7" xfId="0" applyNumberFormat="1" applyFont="1" applyBorder="1" applyAlignment="1">
      <alignment horizontal="center" vertical="center"/>
    </xf>
    <xf numFmtId="3" fontId="4" fillId="0" borderId="7" xfId="0" applyNumberFormat="1" applyFont="1" applyBorder="1" applyAlignment="1">
      <alignment horizontal="right" vertical="center"/>
    </xf>
    <xf numFmtId="3" fontId="80" fillId="0" borderId="19" xfId="799" applyNumberFormat="1" applyFont="1" applyBorder="1" applyAlignment="1">
      <alignment horizontal="center" vertical="center" wrapText="1"/>
    </xf>
    <xf numFmtId="0" fontId="80" fillId="0" borderId="19" xfId="0" applyFont="1" applyBorder="1" applyAlignment="1">
      <alignment horizontal="left" vertical="center" wrapText="1"/>
    </xf>
    <xf numFmtId="3" fontId="4" fillId="0" borderId="19" xfId="0" applyNumberFormat="1" applyFont="1" applyBorder="1" applyAlignment="1">
      <alignment vertical="center" wrapText="1"/>
    </xf>
    <xf numFmtId="37" fontId="4" fillId="0" borderId="19" xfId="177" applyNumberFormat="1" applyFont="1" applyFill="1" applyBorder="1" applyAlignment="1">
      <alignment horizontal="center" vertical="center" wrapText="1"/>
    </xf>
    <xf numFmtId="3" fontId="4" fillId="0" borderId="19" xfId="800" applyNumberFormat="1" applyFont="1" applyBorder="1" applyAlignment="1">
      <alignment horizontal="center" vertical="center" wrapText="1"/>
    </xf>
    <xf numFmtId="0" fontId="4" fillId="0" borderId="19" xfId="794" applyFont="1" applyBorder="1" applyAlignment="1">
      <alignment horizontal="center" vertical="center" wrapText="1"/>
    </xf>
    <xf numFmtId="166" fontId="80" fillId="0" borderId="19" xfId="177" applyNumberFormat="1" applyFont="1" applyFill="1" applyBorder="1" applyAlignment="1">
      <alignment horizontal="right" vertical="center" wrapText="1"/>
    </xf>
    <xf numFmtId="166" fontId="89" fillId="0" borderId="19" xfId="177" applyNumberFormat="1" applyFont="1" applyFill="1" applyBorder="1" applyAlignment="1">
      <alignment horizontal="right" vertical="center" wrapText="1"/>
    </xf>
    <xf numFmtId="166" fontId="80" fillId="0" borderId="19" xfId="177" applyNumberFormat="1" applyFont="1" applyFill="1" applyBorder="1" applyAlignment="1">
      <alignment vertical="center" wrapText="1"/>
    </xf>
    <xf numFmtId="3" fontId="96" fillId="0" borderId="15" xfId="0" applyNumberFormat="1" applyFont="1" applyFill="1" applyBorder="1" applyAlignment="1">
      <alignment horizontal="left" vertical="center"/>
    </xf>
    <xf numFmtId="3" fontId="96" fillId="0" borderId="15" xfId="0" applyNumberFormat="1" applyFont="1" applyBorder="1" applyAlignment="1">
      <alignment horizontal="right" vertical="center"/>
    </xf>
    <xf numFmtId="166" fontId="96" fillId="0" borderId="15" xfId="801" applyNumberFormat="1" applyFont="1" applyFill="1" applyBorder="1" applyAlignment="1">
      <alignment vertical="center"/>
    </xf>
    <xf numFmtId="0" fontId="96" fillId="0" borderId="15" xfId="0" applyFont="1" applyBorder="1" applyAlignment="1">
      <alignment vertical="center" wrapText="1"/>
    </xf>
    <xf numFmtId="0" fontId="96" fillId="0" borderId="15" xfId="794" applyFont="1" applyBorder="1" applyAlignment="1">
      <alignment horizontal="center" vertical="center" wrapText="1"/>
    </xf>
    <xf numFmtId="0" fontId="96" fillId="0" borderId="15" xfId="0" applyFont="1" applyBorder="1" applyAlignment="1">
      <alignment horizontal="center" vertical="center" wrapText="1"/>
    </xf>
    <xf numFmtId="166" fontId="96" fillId="0" borderId="15" xfId="177" applyNumberFormat="1" applyFont="1" applyFill="1" applyBorder="1" applyAlignment="1">
      <alignment vertical="center"/>
    </xf>
    <xf numFmtId="3" fontId="96" fillId="0" borderId="16" xfId="0" applyNumberFormat="1" applyFont="1" applyFill="1" applyBorder="1" applyAlignment="1">
      <alignment horizontal="left" vertical="center" wrapText="1"/>
    </xf>
    <xf numFmtId="3" fontId="96" fillId="0" borderId="16" xfId="0" applyNumberFormat="1" applyFont="1" applyBorder="1" applyAlignment="1">
      <alignment horizontal="right" vertical="center"/>
    </xf>
    <xf numFmtId="166" fontId="96" fillId="0" borderId="16" xfId="801" applyNumberFormat="1" applyFont="1" applyFill="1" applyBorder="1" applyAlignment="1">
      <alignment vertical="center"/>
    </xf>
    <xf numFmtId="0" fontId="96" fillId="0" borderId="16" xfId="0" applyFont="1" applyBorder="1" applyAlignment="1">
      <alignment vertical="center" wrapText="1"/>
    </xf>
    <xf numFmtId="0" fontId="96" fillId="0" borderId="16" xfId="794" applyFont="1" applyBorder="1" applyAlignment="1">
      <alignment horizontal="center" vertical="center" wrapText="1"/>
    </xf>
    <xf numFmtId="0" fontId="96" fillId="0" borderId="16" xfId="0" applyFont="1" applyBorder="1" applyAlignment="1">
      <alignment horizontal="center" vertical="center" wrapText="1"/>
    </xf>
    <xf numFmtId="166" fontId="96" fillId="0" borderId="16" xfId="177" applyNumberFormat="1" applyFont="1" applyFill="1" applyBorder="1" applyAlignment="1">
      <alignment vertical="center"/>
    </xf>
    <xf numFmtId="3" fontId="96" fillId="0" borderId="16" xfId="0" applyNumberFormat="1" applyFont="1" applyFill="1" applyBorder="1" applyAlignment="1">
      <alignment horizontal="left" vertical="center"/>
    </xf>
    <xf numFmtId="0" fontId="96" fillId="0" borderId="19" xfId="0" applyFont="1" applyBorder="1" applyAlignment="1">
      <alignment horizontal="center" vertical="center" wrapText="1"/>
    </xf>
    <xf numFmtId="3" fontId="96" fillId="0" borderId="19" xfId="0" applyNumberFormat="1" applyFont="1" applyFill="1" applyBorder="1" applyAlignment="1">
      <alignment horizontal="left" vertical="center" wrapText="1"/>
    </xf>
    <xf numFmtId="3" fontId="96" fillId="0" borderId="19" xfId="0" applyNumberFormat="1" applyFont="1" applyBorder="1" applyAlignment="1">
      <alignment horizontal="right" vertical="center"/>
    </xf>
    <xf numFmtId="212" fontId="96" fillId="0" borderId="3" xfId="801" applyNumberFormat="1" applyFont="1" applyFill="1" applyBorder="1" applyAlignment="1">
      <alignment vertical="center"/>
    </xf>
    <xf numFmtId="0" fontId="96" fillId="0" borderId="3" xfId="0" applyFont="1" applyBorder="1" applyAlignment="1">
      <alignment vertical="center" wrapText="1"/>
    </xf>
    <xf numFmtId="0" fontId="96" fillId="0" borderId="3" xfId="794" applyFont="1" applyBorder="1" applyAlignment="1">
      <alignment horizontal="center" vertical="center" wrapText="1"/>
    </xf>
    <xf numFmtId="0" fontId="96" fillId="0" borderId="3" xfId="0" applyFont="1" applyBorder="1" applyAlignment="1">
      <alignment horizontal="center" vertical="center" wrapText="1"/>
    </xf>
    <xf numFmtId="166" fontId="96" fillId="0" borderId="3" xfId="177" applyNumberFormat="1" applyFont="1" applyFill="1" applyBorder="1" applyAlignment="1">
      <alignment vertical="center"/>
    </xf>
    <xf numFmtId="3" fontId="96" fillId="0" borderId="17" xfId="0" applyNumberFormat="1" applyFont="1" applyFill="1" applyBorder="1" applyAlignment="1">
      <alignment horizontal="left" vertical="center"/>
    </xf>
    <xf numFmtId="3" fontId="96" fillId="0" borderId="17" xfId="0" applyNumberFormat="1" applyFont="1" applyBorder="1" applyAlignment="1">
      <alignment horizontal="right" vertical="center"/>
    </xf>
    <xf numFmtId="212" fontId="96" fillId="0" borderId="18" xfId="801" applyNumberFormat="1" applyFont="1" applyFill="1" applyBorder="1" applyAlignment="1">
      <alignment vertical="center"/>
    </xf>
    <xf numFmtId="0" fontId="96" fillId="0" borderId="18" xfId="0" applyFont="1" applyBorder="1" applyAlignment="1">
      <alignment vertical="center" wrapText="1"/>
    </xf>
    <xf numFmtId="0" fontId="96" fillId="0" borderId="18" xfId="794" applyFont="1" applyBorder="1" applyAlignment="1">
      <alignment horizontal="center" vertical="center" wrapText="1"/>
    </xf>
    <xf numFmtId="0" fontId="96" fillId="0" borderId="18" xfId="0" applyFont="1" applyBorder="1" applyAlignment="1">
      <alignment horizontal="center" vertical="center" wrapText="1"/>
    </xf>
    <xf numFmtId="166" fontId="96" fillId="0" borderId="18" xfId="177" applyNumberFormat="1" applyFont="1" applyFill="1" applyBorder="1" applyAlignment="1">
      <alignment vertical="center"/>
    </xf>
    <xf numFmtId="3" fontId="96" fillId="0" borderId="17" xfId="0" applyNumberFormat="1" applyFont="1" applyFill="1" applyBorder="1" applyAlignment="1">
      <alignment horizontal="right" vertical="center"/>
    </xf>
    <xf numFmtId="3" fontId="98" fillId="0" borderId="16" xfId="799" applyNumberFormat="1" applyFont="1" applyFill="1" applyBorder="1" applyAlignment="1">
      <alignment horizontal="center" vertical="center" wrapText="1"/>
    </xf>
    <xf numFmtId="0" fontId="98" fillId="0" borderId="16" xfId="0" applyFont="1" applyFill="1" applyBorder="1" applyAlignment="1">
      <alignment horizontal="left" vertical="center" wrapText="1"/>
    </xf>
    <xf numFmtId="0" fontId="96" fillId="0" borderId="16" xfId="0" applyFont="1" applyFill="1" applyBorder="1" applyAlignment="1">
      <alignment horizontal="center" vertical="center" wrapText="1"/>
    </xf>
    <xf numFmtId="37" fontId="96" fillId="0" borderId="16" xfId="177" applyNumberFormat="1" applyFont="1" applyFill="1" applyBorder="1" applyAlignment="1">
      <alignment horizontal="center" vertical="center" wrapText="1"/>
    </xf>
    <xf numFmtId="3" fontId="96" fillId="0" borderId="16" xfId="800" applyNumberFormat="1" applyFont="1" applyFill="1" applyBorder="1" applyAlignment="1">
      <alignment horizontal="center" vertical="center" wrapText="1"/>
    </xf>
    <xf numFmtId="0" fontId="96" fillId="0" borderId="16" xfId="0" applyFont="1" applyFill="1" applyBorder="1" applyAlignment="1">
      <alignment vertical="center" wrapText="1"/>
    </xf>
    <xf numFmtId="0" fontId="96" fillId="0" borderId="16" xfId="794" applyFont="1" applyFill="1" applyBorder="1" applyAlignment="1">
      <alignment horizontal="center" vertical="center" wrapText="1"/>
    </xf>
    <xf numFmtId="0" fontId="96" fillId="0" borderId="16" xfId="0" applyFont="1" applyFill="1" applyBorder="1" applyAlignment="1">
      <alignment horizontal="center" vertical="center"/>
    </xf>
    <xf numFmtId="166" fontId="98" fillId="0" borderId="16" xfId="177" applyNumberFormat="1" applyFont="1" applyFill="1" applyBorder="1" applyAlignment="1">
      <alignment horizontal="right" vertical="center" wrapText="1"/>
    </xf>
    <xf numFmtId="3" fontId="96" fillId="0" borderId="19" xfId="0" applyNumberFormat="1" applyFont="1" applyBorder="1" applyAlignment="1">
      <alignment horizontal="center" vertical="center"/>
    </xf>
    <xf numFmtId="3" fontId="96" fillId="0" borderId="19" xfId="0" applyNumberFormat="1" applyFont="1" applyFill="1" applyBorder="1" applyAlignment="1">
      <alignment horizontal="left" vertical="center"/>
    </xf>
    <xf numFmtId="166" fontId="96" fillId="0" borderId="3" xfId="801" applyNumberFormat="1" applyFont="1" applyFill="1" applyBorder="1" applyAlignment="1">
      <alignment vertical="center"/>
    </xf>
    <xf numFmtId="3" fontId="96" fillId="0" borderId="3" xfId="0" applyNumberFormat="1" applyFont="1" applyBorder="1" applyAlignment="1">
      <alignment horizontal="left" vertical="center" wrapText="1"/>
    </xf>
    <xf numFmtId="166" fontId="96" fillId="0" borderId="7" xfId="801" applyNumberFormat="1" applyFont="1" applyFill="1" applyBorder="1" applyAlignment="1">
      <alignment vertical="center"/>
    </xf>
    <xf numFmtId="3" fontId="96" fillId="0" borderId="7" xfId="0" applyNumberFormat="1" applyFont="1" applyBorder="1" applyAlignment="1">
      <alignment horizontal="left" vertical="center" wrapText="1"/>
    </xf>
    <xf numFmtId="0" fontId="96" fillId="0" borderId="7" xfId="0" applyFont="1" applyBorder="1" applyAlignment="1">
      <alignment vertical="center" wrapText="1"/>
    </xf>
    <xf numFmtId="166" fontId="96" fillId="0" borderId="7" xfId="177" applyNumberFormat="1" applyFont="1" applyFill="1" applyBorder="1" applyAlignment="1">
      <alignment vertical="center"/>
    </xf>
    <xf numFmtId="166" fontId="96" fillId="0" borderId="18" xfId="801" applyNumberFormat="1" applyFont="1" applyFill="1" applyBorder="1" applyAlignment="1">
      <alignment vertical="center"/>
    </xf>
    <xf numFmtId="3" fontId="96" fillId="0" borderId="18" xfId="0" applyNumberFormat="1" applyFont="1" applyBorder="1" applyAlignment="1">
      <alignment horizontal="left" vertical="center" wrapText="1"/>
    </xf>
    <xf numFmtId="3" fontId="103" fillId="26" borderId="18" xfId="799" applyNumberFormat="1" applyFont="1" applyFill="1" applyBorder="1" applyAlignment="1">
      <alignment horizontal="center" vertical="center" wrapText="1"/>
    </xf>
    <xf numFmtId="0" fontId="91" fillId="26" borderId="18" xfId="518" applyFont="1" applyFill="1" applyBorder="1" applyAlignment="1">
      <alignment horizontal="left" vertical="center" wrapText="1"/>
    </xf>
    <xf numFmtId="0" fontId="79" fillId="26" borderId="18" xfId="0" applyFont="1" applyFill="1" applyBorder="1" applyAlignment="1">
      <alignment horizontal="center" vertical="center" wrapText="1"/>
    </xf>
    <xf numFmtId="3" fontId="79" fillId="26" borderId="18" xfId="0" applyNumberFormat="1" applyFont="1" applyFill="1" applyBorder="1" applyAlignment="1">
      <alignment vertical="center" wrapText="1"/>
    </xf>
    <xf numFmtId="37" fontId="79" fillId="0" borderId="18" xfId="177" applyNumberFormat="1" applyFont="1" applyFill="1" applyBorder="1" applyAlignment="1">
      <alignment horizontal="center" vertical="center" wrapText="1"/>
    </xf>
    <xf numFmtId="212" fontId="79" fillId="26" borderId="18" xfId="800" applyNumberFormat="1" applyFont="1" applyFill="1" applyBorder="1" applyAlignment="1">
      <alignment horizontal="center" vertical="center" wrapText="1"/>
    </xf>
    <xf numFmtId="3" fontId="79" fillId="26" borderId="18" xfId="0" applyNumberFormat="1" applyFont="1" applyFill="1" applyBorder="1" applyAlignment="1">
      <alignment horizontal="left" vertical="center" wrapText="1"/>
    </xf>
    <xf numFmtId="3" fontId="91" fillId="26" borderId="18" xfId="0" applyNumberFormat="1" applyFont="1" applyFill="1" applyBorder="1" applyAlignment="1">
      <alignment horizontal="center" vertical="center" wrapText="1"/>
    </xf>
    <xf numFmtId="166" fontId="91" fillId="26" borderId="18" xfId="235" applyNumberFormat="1" applyFont="1" applyFill="1" applyBorder="1" applyAlignment="1">
      <alignment horizontal="center" vertical="center" wrapText="1"/>
    </xf>
    <xf numFmtId="166" fontId="79" fillId="0" borderId="18" xfId="177" applyNumberFormat="1" applyFont="1" applyFill="1" applyBorder="1" applyAlignment="1">
      <alignment vertical="center"/>
    </xf>
    <xf numFmtId="166" fontId="79" fillId="0" borderId="17" xfId="177" applyNumberFormat="1" applyFont="1" applyFill="1" applyBorder="1" applyAlignment="1">
      <alignment vertical="center"/>
    </xf>
    <xf numFmtId="0" fontId="86" fillId="26" borderId="7" xfId="518" applyFont="1" applyFill="1" applyBorder="1" applyAlignment="1">
      <alignment horizontal="left" vertical="center" wrapText="1"/>
    </xf>
    <xf numFmtId="0" fontId="4" fillId="26" borderId="18" xfId="0" applyFont="1" applyFill="1" applyBorder="1" applyAlignment="1">
      <alignment horizontal="center" vertical="center" wrapText="1"/>
    </xf>
    <xf numFmtId="3" fontId="86" fillId="26" borderId="7" xfId="0" applyNumberFormat="1" applyFont="1" applyFill="1" applyBorder="1" applyAlignment="1">
      <alignment horizontal="center" vertical="center" wrapText="1"/>
    </xf>
    <xf numFmtId="166" fontId="86" fillId="26" borderId="7" xfId="235" applyNumberFormat="1" applyFont="1" applyFill="1" applyBorder="1" applyAlignment="1">
      <alignment horizontal="center" vertical="center" wrapText="1"/>
    </xf>
    <xf numFmtId="166" fontId="4" fillId="0" borderId="7" xfId="177" applyNumberFormat="1" applyFont="1" applyFill="1" applyBorder="1" applyAlignment="1">
      <alignment horizontal="center" vertical="center"/>
    </xf>
    <xf numFmtId="3" fontId="4" fillId="0" borderId="12" xfId="0" applyNumberFormat="1" applyFont="1" applyBorder="1" applyAlignment="1">
      <alignment horizontal="right" vertical="center" wrapText="1"/>
    </xf>
    <xf numFmtId="3" fontId="87" fillId="26" borderId="18" xfId="799" applyNumberFormat="1" applyFont="1" applyFill="1" applyBorder="1" applyAlignment="1">
      <alignment horizontal="center" vertical="center" wrapText="1"/>
    </xf>
    <xf numFmtId="3" fontId="4" fillId="26" borderId="18" xfId="0" applyNumberFormat="1" applyFont="1" applyFill="1" applyBorder="1" applyAlignment="1">
      <alignment vertical="center" wrapText="1"/>
    </xf>
    <xf numFmtId="3" fontId="87" fillId="26" borderId="7" xfId="799" applyNumberFormat="1" applyFont="1" applyFill="1" applyBorder="1" applyAlignment="1">
      <alignment horizontal="center" vertical="center" wrapText="1"/>
    </xf>
    <xf numFmtId="0" fontId="87" fillId="0" borderId="7" xfId="0" applyFont="1" applyFill="1" applyBorder="1" applyAlignment="1">
      <alignment horizontal="center" vertical="center" wrapText="1"/>
    </xf>
    <xf numFmtId="166" fontId="86" fillId="26" borderId="7" xfId="177" applyNumberFormat="1" applyFont="1" applyFill="1" applyBorder="1" applyAlignment="1">
      <alignment vertical="center" wrapText="1"/>
    </xf>
    <xf numFmtId="3" fontId="98" fillId="0" borderId="16" xfId="0" applyNumberFormat="1" applyFont="1" applyBorder="1" applyAlignment="1">
      <alignment horizontal="right" vertical="center" wrapText="1"/>
    </xf>
    <xf numFmtId="3" fontId="96" fillId="0" borderId="16" xfId="0" applyNumberFormat="1" applyFont="1" applyBorder="1" applyAlignment="1">
      <alignment horizontal="right" vertical="center" wrapText="1"/>
    </xf>
    <xf numFmtId="1" fontId="4" fillId="0" borderId="0" xfId="0" applyNumberFormat="1" applyFont="1" applyAlignment="1">
      <alignment vertical="center"/>
    </xf>
    <xf numFmtId="3" fontId="4" fillId="0" borderId="7" xfId="0" applyNumberFormat="1" applyFont="1" applyBorder="1" applyAlignment="1">
      <alignment horizontal="center" vertical="center" wrapText="1"/>
    </xf>
    <xf numFmtId="0" fontId="4" fillId="0" borderId="7" xfId="0" applyFont="1" applyFill="1" applyBorder="1" applyAlignment="1">
      <alignment horizontal="left" vertical="center" wrapText="1"/>
    </xf>
    <xf numFmtId="166" fontId="4" fillId="0" borderId="7" xfId="0" applyNumberFormat="1" applyFont="1" applyFill="1" applyBorder="1" applyAlignment="1">
      <alignment horizontal="center" vertical="center"/>
    </xf>
    <xf numFmtId="3" fontId="4" fillId="0" borderId="7" xfId="0" applyNumberFormat="1" applyFont="1" applyFill="1" applyBorder="1" applyAlignment="1">
      <alignment horizontal="left" vertical="center" wrapText="1"/>
    </xf>
    <xf numFmtId="0" fontId="86" fillId="26" borderId="7" xfId="0" applyFont="1" applyFill="1" applyBorder="1" applyAlignment="1">
      <alignment horizontal="center" vertical="center" wrapText="1"/>
    </xf>
    <xf numFmtId="214" fontId="96" fillId="0" borderId="16" xfId="0" applyNumberFormat="1" applyFont="1" applyBorder="1" applyAlignment="1">
      <alignment horizontal="right" vertical="center"/>
    </xf>
    <xf numFmtId="0" fontId="96" fillId="0" borderId="16" xfId="0" applyFont="1" applyBorder="1" applyAlignment="1">
      <alignment horizontal="right" vertical="center" wrapText="1"/>
    </xf>
    <xf numFmtId="1" fontId="96" fillId="0" borderId="16" xfId="0" applyNumberFormat="1" applyFont="1" applyBorder="1" applyAlignment="1">
      <alignment horizontal="right" vertical="center" wrapText="1"/>
    </xf>
    <xf numFmtId="166" fontId="79" fillId="0" borderId="7" xfId="177" applyNumberFormat="1" applyFont="1" applyBorder="1" applyAlignment="1">
      <alignment horizontal="right" vertical="center"/>
    </xf>
    <xf numFmtId="3" fontId="79" fillId="0" borderId="7" xfId="0" applyNumberFormat="1" applyFont="1" applyBorder="1" applyAlignment="1">
      <alignment horizontal="right" vertical="center"/>
    </xf>
    <xf numFmtId="0" fontId="95" fillId="0" borderId="18" xfId="794" applyFont="1" applyFill="1" applyBorder="1" applyAlignment="1">
      <alignment horizontal="center" vertical="center"/>
    </xf>
    <xf numFmtId="3" fontId="95" fillId="0" borderId="18" xfId="0" applyNumberFormat="1" applyFont="1" applyBorder="1" applyAlignment="1">
      <alignment vertical="center" wrapText="1"/>
    </xf>
    <xf numFmtId="0" fontId="4" fillId="0" borderId="18" xfId="0" applyFont="1" applyFill="1" applyBorder="1" applyAlignment="1">
      <alignment horizontal="center" vertical="center" wrapText="1"/>
    </xf>
    <xf numFmtId="0" fontId="95" fillId="0" borderId="18" xfId="0" applyFont="1" applyFill="1" applyBorder="1" applyAlignment="1">
      <alignment horizontal="center" vertical="center" wrapText="1"/>
    </xf>
    <xf numFmtId="0" fontId="86" fillId="26" borderId="18" xfId="0" applyNumberFormat="1" applyFont="1" applyFill="1" applyBorder="1" applyAlignment="1">
      <alignment horizontal="center" vertical="center" wrapText="1"/>
    </xf>
    <xf numFmtId="212" fontId="86" fillId="26" borderId="18" xfId="0" applyNumberFormat="1" applyFont="1" applyFill="1" applyBorder="1" applyAlignment="1">
      <alignment vertical="center"/>
    </xf>
    <xf numFmtId="0" fontId="4" fillId="0" borderId="18" xfId="794" applyFont="1" applyBorder="1" applyAlignment="1">
      <alignment horizontal="center" vertical="center" wrapText="1"/>
    </xf>
    <xf numFmtId="166" fontId="79" fillId="0" borderId="17" xfId="177" applyNumberFormat="1" applyFont="1" applyBorder="1" applyAlignment="1">
      <alignment horizontal="right" vertical="center"/>
    </xf>
    <xf numFmtId="3" fontId="96" fillId="0" borderId="16" xfId="0" applyNumberFormat="1" applyFont="1" applyFill="1" applyBorder="1" applyAlignment="1">
      <alignment vertical="center" wrapText="1"/>
    </xf>
    <xf numFmtId="0" fontId="96" fillId="0" borderId="16" xfId="0" applyFont="1" applyFill="1" applyBorder="1" applyAlignment="1">
      <alignment vertical="center"/>
    </xf>
    <xf numFmtId="212" fontId="86" fillId="26" borderId="3" xfId="0" applyNumberFormat="1" applyFont="1" applyFill="1" applyBorder="1" applyAlignment="1">
      <alignment vertical="center"/>
    </xf>
    <xf numFmtId="0" fontId="79" fillId="0" borderId="19" xfId="0" applyFont="1" applyBorder="1" applyAlignment="1">
      <alignment horizontal="right" vertical="center"/>
    </xf>
    <xf numFmtId="4" fontId="96" fillId="0" borderId="16" xfId="0" applyNumberFormat="1" applyFont="1" applyBorder="1" applyAlignment="1">
      <alignment horizontal="right" vertical="center"/>
    </xf>
    <xf numFmtId="0" fontId="96" fillId="0" borderId="16" xfId="0" applyFont="1" applyFill="1" applyBorder="1" applyAlignment="1">
      <alignment horizontal="left" vertical="center" wrapText="1"/>
    </xf>
    <xf numFmtId="212" fontId="96" fillId="0" borderId="16" xfId="0" applyNumberFormat="1" applyFont="1" applyFill="1" applyBorder="1" applyAlignment="1">
      <alignment vertical="center"/>
    </xf>
    <xf numFmtId="0" fontId="96" fillId="0" borderId="16" xfId="0" applyFont="1" applyBorder="1" applyAlignment="1">
      <alignment horizontal="right" vertical="center"/>
    </xf>
    <xf numFmtId="0" fontId="4" fillId="26" borderId="7" xfId="0" applyFont="1" applyFill="1" applyBorder="1" applyAlignment="1">
      <alignment vertical="center" wrapText="1"/>
    </xf>
    <xf numFmtId="0" fontId="87" fillId="0" borderId="7" xfId="0" applyFont="1" applyBorder="1" applyAlignment="1">
      <alignment vertical="center" wrapText="1"/>
    </xf>
    <xf numFmtId="166" fontId="4" fillId="0" borderId="7" xfId="235" applyNumberFormat="1" applyFont="1" applyBorder="1" applyAlignment="1">
      <alignment horizontal="right" vertical="center"/>
    </xf>
    <xf numFmtId="1" fontId="96" fillId="0" borderId="16" xfId="0" applyNumberFormat="1" applyFont="1" applyBorder="1" applyAlignment="1">
      <alignment horizontal="right" vertical="center"/>
    </xf>
    <xf numFmtId="3" fontId="4" fillId="26" borderId="7" xfId="800" applyNumberFormat="1" applyFont="1" applyFill="1" applyBorder="1" applyAlignment="1">
      <alignment horizontal="center" vertical="center" wrapText="1"/>
    </xf>
    <xf numFmtId="3" fontId="79" fillId="26" borderId="7" xfId="794" applyNumberFormat="1" applyFont="1" applyFill="1" applyBorder="1" applyAlignment="1">
      <alignment horizontal="left" vertical="center" wrapText="1"/>
    </xf>
    <xf numFmtId="166" fontId="79" fillId="26" borderId="7" xfId="177" applyNumberFormat="1" applyFont="1" applyFill="1" applyBorder="1" applyAlignment="1">
      <alignment horizontal="center" vertical="center" wrapText="1"/>
    </xf>
    <xf numFmtId="3" fontId="79" fillId="26" borderId="7" xfId="800" applyNumberFormat="1" applyFont="1" applyFill="1" applyBorder="1" applyAlignment="1">
      <alignment horizontal="center" vertical="center" wrapText="1"/>
    </xf>
    <xf numFmtId="1" fontId="79" fillId="0" borderId="7" xfId="796" applyNumberFormat="1" applyFont="1" applyFill="1" applyBorder="1" applyAlignment="1">
      <alignment horizontal="left" vertical="center" wrapText="1"/>
    </xf>
    <xf numFmtId="3" fontId="79" fillId="26" borderId="7" xfId="0" applyNumberFormat="1" applyFont="1" applyFill="1" applyBorder="1" applyAlignment="1">
      <alignment horizontal="center" vertical="center" wrapText="1"/>
    </xf>
    <xf numFmtId="166" fontId="79" fillId="0" borderId="12" xfId="177" applyNumberFormat="1" applyFont="1" applyFill="1" applyBorder="1" applyAlignment="1">
      <alignment horizontal="right" vertical="center"/>
    </xf>
    <xf numFmtId="43" fontId="79" fillId="26" borderId="7" xfId="212" applyFont="1" applyFill="1" applyBorder="1" applyAlignment="1">
      <alignment vertical="center" wrapText="1"/>
    </xf>
    <xf numFmtId="166" fontId="79" fillId="0" borderId="7" xfId="797" applyNumberFormat="1" applyFont="1" applyBorder="1" applyAlignment="1">
      <alignment horizontal="center" vertical="center" wrapText="1"/>
    </xf>
    <xf numFmtId="212" fontId="79" fillId="26" borderId="7" xfId="0" applyNumberFormat="1" applyFont="1" applyFill="1" applyBorder="1" applyAlignment="1">
      <alignment horizontal="center" vertical="center"/>
    </xf>
    <xf numFmtId="166" fontId="103" fillId="26" borderId="7" xfId="177" applyNumberFormat="1" applyFont="1" applyFill="1" applyBorder="1" applyAlignment="1">
      <alignment vertical="center"/>
    </xf>
    <xf numFmtId="3" fontId="79" fillId="0" borderId="7" xfId="0" applyNumberFormat="1" applyFont="1" applyFill="1" applyBorder="1" applyAlignment="1">
      <alignment vertical="center" wrapText="1"/>
    </xf>
    <xf numFmtId="0" fontId="96" fillId="0" borderId="16" xfId="0" applyFont="1" applyFill="1" applyBorder="1" applyAlignment="1">
      <alignment horizontal="right" vertical="center" wrapText="1"/>
    </xf>
    <xf numFmtId="1" fontId="96" fillId="0" borderId="16" xfId="0" applyNumberFormat="1" applyFont="1" applyFill="1" applyBorder="1" applyAlignment="1">
      <alignment horizontal="right" vertical="center" wrapText="1"/>
    </xf>
    <xf numFmtId="166" fontId="4" fillId="0" borderId="7" xfId="235" applyNumberFormat="1" applyFont="1" applyBorder="1" applyAlignment="1">
      <alignment vertical="center"/>
    </xf>
    <xf numFmtId="166" fontId="96" fillId="0" borderId="16" xfId="177" applyNumberFormat="1" applyFont="1" applyFill="1" applyBorder="1" applyAlignment="1">
      <alignment horizontal="right" vertical="center" wrapText="1"/>
    </xf>
    <xf numFmtId="3" fontId="89" fillId="0" borderId="16" xfId="0" applyNumberFormat="1" applyFont="1" applyBorder="1" applyAlignment="1">
      <alignment horizontal="center" vertical="center"/>
    </xf>
    <xf numFmtId="0" fontId="89" fillId="0" borderId="7" xfId="0" applyFont="1" applyFill="1" applyBorder="1" applyAlignment="1">
      <alignment horizontal="left" vertical="center" wrapText="1"/>
    </xf>
    <xf numFmtId="0" fontId="89" fillId="26" borderId="7" xfId="0" applyFont="1" applyFill="1" applyBorder="1" applyAlignment="1">
      <alignment horizontal="center" vertical="center" wrapText="1"/>
    </xf>
    <xf numFmtId="1" fontId="89" fillId="0" borderId="7" xfId="796" applyNumberFormat="1" applyFont="1" applyFill="1" applyBorder="1" applyAlignment="1">
      <alignment horizontal="left" vertical="center" wrapText="1"/>
    </xf>
    <xf numFmtId="3" fontId="89" fillId="26" borderId="7" xfId="0" applyNumberFormat="1" applyFont="1" applyFill="1" applyBorder="1" applyAlignment="1">
      <alignment vertical="center" wrapText="1"/>
    </xf>
    <xf numFmtId="0" fontId="89" fillId="0" borderId="7" xfId="177" applyNumberFormat="1" applyFont="1" applyFill="1" applyBorder="1" applyAlignment="1">
      <alignment horizontal="center" vertical="center" wrapText="1"/>
    </xf>
    <xf numFmtId="3" fontId="89" fillId="26" borderId="7" xfId="0" applyNumberFormat="1" applyFont="1" applyFill="1" applyBorder="1" applyAlignment="1">
      <alignment horizontal="left" vertical="center" wrapText="1"/>
    </xf>
    <xf numFmtId="0" fontId="89" fillId="0" borderId="7" xfId="0" applyFont="1" applyFill="1" applyBorder="1" applyAlignment="1">
      <alignment horizontal="center" vertical="center" wrapText="1"/>
    </xf>
    <xf numFmtId="9" fontId="89" fillId="0" borderId="16" xfId="803" applyFont="1" applyBorder="1" applyAlignment="1">
      <alignment horizontal="right" vertical="center"/>
    </xf>
    <xf numFmtId="0" fontId="79" fillId="0" borderId="7" xfId="0" quotePrefix="1" applyFont="1" applyBorder="1" applyAlignment="1">
      <alignment horizontal="center" vertical="center"/>
    </xf>
    <xf numFmtId="0" fontId="79" fillId="0" borderId="7" xfId="0" applyFont="1" applyBorder="1" applyAlignment="1">
      <alignment horizontal="left" vertical="center" wrapText="1"/>
    </xf>
    <xf numFmtId="1" fontId="79" fillId="0" borderId="7" xfId="796" applyNumberFormat="1" applyFont="1" applyBorder="1" applyAlignment="1">
      <alignment vertical="center" wrapText="1"/>
    </xf>
    <xf numFmtId="0" fontId="79" fillId="0" borderId="7" xfId="0" applyFont="1" applyBorder="1" applyAlignment="1">
      <alignment horizontal="center" vertical="center" wrapText="1"/>
    </xf>
    <xf numFmtId="166" fontId="79" fillId="0" borderId="7" xfId="801" applyNumberFormat="1" applyFont="1" applyBorder="1" applyAlignment="1">
      <alignment vertical="center"/>
    </xf>
    <xf numFmtId="0" fontId="79" fillId="0" borderId="7" xfId="0" applyFont="1" applyBorder="1" applyAlignment="1">
      <alignment vertical="center" wrapText="1"/>
    </xf>
    <xf numFmtId="166" fontId="89" fillId="0" borderId="16" xfId="177" applyNumberFormat="1" applyFont="1" applyBorder="1" applyAlignment="1">
      <alignment horizontal="right" vertical="center" wrapText="1"/>
    </xf>
    <xf numFmtId="0" fontId="4" fillId="0" borderId="7" xfId="0" quotePrefix="1" applyFont="1" applyBorder="1" applyAlignment="1">
      <alignment horizontal="center" vertical="center"/>
    </xf>
    <xf numFmtId="166" fontId="4" fillId="0" borderId="7" xfId="801" applyNumberFormat="1" applyFont="1" applyBorder="1" applyAlignment="1">
      <alignment vertical="center"/>
    </xf>
    <xf numFmtId="212" fontId="4" fillId="0" borderId="7" xfId="801" applyNumberFormat="1" applyFont="1" applyBorder="1" applyAlignment="1">
      <alignment vertical="center"/>
    </xf>
    <xf numFmtId="166" fontId="80" fillId="0" borderId="7" xfId="0" applyNumberFormat="1" applyFont="1" applyBorder="1" applyAlignment="1">
      <alignment vertical="center"/>
    </xf>
    <xf numFmtId="166" fontId="4" fillId="0" borderId="7" xfId="801" applyNumberFormat="1" applyFont="1" applyFill="1" applyBorder="1" applyAlignment="1">
      <alignment vertical="center"/>
    </xf>
    <xf numFmtId="166" fontId="86" fillId="26" borderId="18" xfId="177" applyNumberFormat="1" applyFont="1" applyFill="1" applyBorder="1" applyAlignment="1">
      <alignment vertical="center" wrapText="1"/>
    </xf>
    <xf numFmtId="3" fontId="4" fillId="0" borderId="20" xfId="0" applyNumberFormat="1" applyFont="1" applyBorder="1" applyAlignment="1">
      <alignment horizontal="right" vertical="center"/>
    </xf>
    <xf numFmtId="3" fontId="79" fillId="0" borderId="20" xfId="0" applyNumberFormat="1" applyFont="1" applyBorder="1" applyAlignment="1">
      <alignment horizontal="right" vertical="center"/>
    </xf>
    <xf numFmtId="3" fontId="4" fillId="0" borderId="20" xfId="0" applyNumberFormat="1" applyFont="1" applyBorder="1" applyAlignment="1">
      <alignment horizontal="right" vertical="center" wrapText="1"/>
    </xf>
    <xf numFmtId="0" fontId="81" fillId="0" borderId="7" xfId="0" applyFont="1" applyBorder="1" applyAlignment="1">
      <alignment horizontal="center" vertical="center" wrapText="1"/>
    </xf>
    <xf numFmtId="0" fontId="79" fillId="0" borderId="7" xfId="561" applyFont="1" applyBorder="1" applyAlignment="1">
      <alignment vertical="center" wrapText="1"/>
    </xf>
    <xf numFmtId="0" fontId="81" fillId="0" borderId="7" xfId="0" applyFont="1" applyBorder="1" applyAlignment="1">
      <alignment horizontal="center" vertical="center"/>
    </xf>
    <xf numFmtId="0" fontId="85" fillId="0" borderId="7" xfId="0" applyFont="1" applyBorder="1" applyAlignment="1">
      <alignment horizontal="center" vertical="center" wrapText="1"/>
    </xf>
    <xf numFmtId="0" fontId="4" fillId="0" borderId="7" xfId="497" applyFont="1" applyBorder="1" applyAlignment="1">
      <alignment horizontal="left" vertical="center" wrapText="1"/>
    </xf>
    <xf numFmtId="0" fontId="4" fillId="0" borderId="7" xfId="561" applyFont="1" applyBorder="1" applyAlignment="1">
      <alignment vertical="center" wrapText="1"/>
    </xf>
    <xf numFmtId="3" fontId="80" fillId="0" borderId="15" xfId="0" applyNumberFormat="1" applyFont="1" applyBorder="1" applyAlignment="1">
      <alignment vertical="center"/>
    </xf>
    <xf numFmtId="3" fontId="80" fillId="0" borderId="16" xfId="0" applyNumberFormat="1" applyFont="1" applyBorder="1" applyAlignment="1">
      <alignment vertical="center"/>
    </xf>
    <xf numFmtId="3" fontId="4" fillId="0" borderId="7" xfId="0" applyNumberFormat="1" applyFont="1" applyBorder="1" applyAlignment="1">
      <alignment vertical="center"/>
    </xf>
    <xf numFmtId="3" fontId="4" fillId="0" borderId="7" xfId="0" applyNumberFormat="1" applyFont="1" applyFill="1" applyBorder="1" applyAlignment="1">
      <alignment vertical="center"/>
    </xf>
    <xf numFmtId="166" fontId="79" fillId="0" borderId="16" xfId="801" applyNumberFormat="1" applyFont="1" applyFill="1" applyBorder="1" applyAlignment="1">
      <alignment vertical="center"/>
    </xf>
    <xf numFmtId="166" fontId="79" fillId="0" borderId="16" xfId="177" applyNumberFormat="1" applyFont="1" applyFill="1" applyBorder="1" applyAlignment="1">
      <alignment vertical="center"/>
    </xf>
    <xf numFmtId="3" fontId="79" fillId="0" borderId="16" xfId="0" applyNumberFormat="1" applyFont="1" applyFill="1" applyBorder="1" applyAlignment="1">
      <alignment horizontal="left" vertical="center" wrapText="1"/>
    </xf>
    <xf numFmtId="3" fontId="96" fillId="0" borderId="12" xfId="0" applyNumberFormat="1" applyFont="1" applyFill="1" applyBorder="1" applyAlignment="1">
      <alignment horizontal="right" vertical="center"/>
    </xf>
    <xf numFmtId="3" fontId="79" fillId="0" borderId="17" xfId="0" applyNumberFormat="1" applyFont="1" applyFill="1" applyBorder="1" applyAlignment="1">
      <alignment horizontal="right" vertical="center"/>
    </xf>
    <xf numFmtId="3" fontId="79" fillId="0" borderId="19" xfId="0" applyNumberFormat="1" applyFont="1" applyFill="1" applyBorder="1" applyAlignment="1">
      <alignment horizontal="left" vertical="center" wrapText="1"/>
    </xf>
    <xf numFmtId="212" fontId="79" fillId="0" borderId="18" xfId="801" applyNumberFormat="1" applyFont="1" applyFill="1" applyBorder="1" applyAlignment="1">
      <alignment vertical="center"/>
    </xf>
    <xf numFmtId="0" fontId="79" fillId="0" borderId="18" xfId="0" applyFont="1" applyBorder="1" applyAlignment="1">
      <alignment vertical="center" wrapText="1"/>
    </xf>
    <xf numFmtId="0" fontId="79" fillId="0" borderId="18" xfId="794" applyFont="1" applyBorder="1" applyAlignment="1">
      <alignment horizontal="center" vertical="center" wrapText="1"/>
    </xf>
    <xf numFmtId="0" fontId="79" fillId="0" borderId="18" xfId="0" applyFont="1" applyBorder="1" applyAlignment="1">
      <alignment horizontal="center" vertical="center" wrapText="1"/>
    </xf>
    <xf numFmtId="3" fontId="79" fillId="0" borderId="12" xfId="0" applyNumberFormat="1" applyFont="1" applyFill="1" applyBorder="1" applyAlignment="1">
      <alignment horizontal="right" vertical="center"/>
    </xf>
    <xf numFmtId="212" fontId="79" fillId="0" borderId="3" xfId="801" applyNumberFormat="1" applyFont="1" applyFill="1" applyBorder="1" applyAlignment="1">
      <alignment vertical="center"/>
    </xf>
    <xf numFmtId="0" fontId="79" fillId="0" borderId="3" xfId="0" applyFont="1" applyBorder="1" applyAlignment="1">
      <alignment vertical="center" wrapText="1"/>
    </xf>
    <xf numFmtId="0" fontId="79" fillId="0" borderId="3" xfId="794" applyFont="1" applyBorder="1" applyAlignment="1">
      <alignment horizontal="center" vertical="center" wrapText="1"/>
    </xf>
    <xf numFmtId="0" fontId="79" fillId="0" borderId="3" xfId="0" applyFont="1" applyBorder="1" applyAlignment="1">
      <alignment horizontal="center" vertical="center" wrapText="1"/>
    </xf>
    <xf numFmtId="166" fontId="79" fillId="0" borderId="3" xfId="177" applyNumberFormat="1" applyFont="1" applyFill="1" applyBorder="1" applyAlignment="1">
      <alignment vertical="center"/>
    </xf>
    <xf numFmtId="3" fontId="79" fillId="0" borderId="19" xfId="0" applyNumberFormat="1" applyFont="1" applyBorder="1" applyAlignment="1">
      <alignment horizontal="center" vertical="center"/>
    </xf>
    <xf numFmtId="166" fontId="79" fillId="0" borderId="7" xfId="801" applyNumberFormat="1" applyFont="1" applyFill="1" applyBorder="1" applyAlignment="1">
      <alignment vertical="center"/>
    </xf>
    <xf numFmtId="3" fontId="79" fillId="0" borderId="7" xfId="0" applyNumberFormat="1" applyFont="1" applyBorder="1" applyAlignment="1">
      <alignment horizontal="left" vertical="center" wrapText="1"/>
    </xf>
    <xf numFmtId="166" fontId="79" fillId="0" borderId="7" xfId="177" applyNumberFormat="1" applyFont="1" applyFill="1" applyBorder="1" applyAlignment="1">
      <alignment vertical="center"/>
    </xf>
    <xf numFmtId="0" fontId="91" fillId="26" borderId="7" xfId="518" applyFont="1" applyFill="1" applyBorder="1" applyAlignment="1">
      <alignment horizontal="left" vertical="center" wrapText="1"/>
    </xf>
    <xf numFmtId="37" fontId="79" fillId="0" borderId="7" xfId="177" applyNumberFormat="1" applyFont="1" applyFill="1" applyBorder="1" applyAlignment="1">
      <alignment horizontal="center" vertical="center" wrapText="1"/>
    </xf>
    <xf numFmtId="212" fontId="79" fillId="26" borderId="7" xfId="800" applyNumberFormat="1" applyFont="1" applyFill="1" applyBorder="1" applyAlignment="1">
      <alignment horizontal="center" vertical="center" wrapText="1"/>
    </xf>
    <xf numFmtId="3" fontId="91" fillId="26" borderId="7" xfId="0" applyNumberFormat="1" applyFont="1" applyFill="1" applyBorder="1" applyAlignment="1">
      <alignment horizontal="center" vertical="center" wrapText="1"/>
    </xf>
    <xf numFmtId="166" fontId="91" fillId="26" borderId="7" xfId="235" applyNumberFormat="1" applyFont="1" applyFill="1" applyBorder="1" applyAlignment="1">
      <alignment horizontal="center" vertical="center" wrapText="1"/>
    </xf>
    <xf numFmtId="166" fontId="79" fillId="0" borderId="7" xfId="177" applyNumberFormat="1" applyFont="1" applyFill="1" applyBorder="1" applyAlignment="1">
      <alignment horizontal="center" vertical="center"/>
    </xf>
    <xf numFmtId="3" fontId="103" fillId="26" borderId="7" xfId="799" applyNumberFormat="1" applyFont="1" applyFill="1" applyBorder="1" applyAlignment="1">
      <alignment horizontal="center" vertical="center" wrapText="1"/>
    </xf>
    <xf numFmtId="3" fontId="96" fillId="0" borderId="19" xfId="0" applyNumberFormat="1" applyFont="1" applyFill="1" applyBorder="1" applyAlignment="1">
      <alignment horizontal="right" vertical="center" wrapText="1"/>
    </xf>
    <xf numFmtId="166" fontId="4" fillId="0" borderId="16" xfId="161" applyNumberFormat="1" applyFont="1" applyBorder="1" applyAlignment="1">
      <alignment horizontal="center" vertical="center"/>
    </xf>
    <xf numFmtId="0" fontId="79" fillId="26" borderId="7" xfId="0" applyFont="1" applyFill="1" applyBorder="1" applyAlignment="1">
      <alignment vertical="center" wrapText="1"/>
    </xf>
    <xf numFmtId="0" fontId="103" fillId="0" borderId="7" xfId="0" applyFont="1" applyBorder="1" applyAlignment="1">
      <alignment vertical="center" wrapText="1"/>
    </xf>
    <xf numFmtId="166" fontId="79" fillId="0" borderId="7" xfId="177" applyNumberFormat="1" applyFont="1" applyFill="1" applyBorder="1" applyAlignment="1">
      <alignment horizontal="center" vertical="center" wrapText="1"/>
    </xf>
    <xf numFmtId="166" fontId="79" fillId="0" borderId="7" xfId="235" applyNumberFormat="1" applyFont="1" applyBorder="1" applyAlignment="1">
      <alignment horizontal="right" vertical="center"/>
    </xf>
    <xf numFmtId="1" fontId="79" fillId="0" borderId="16" xfId="0" applyNumberFormat="1" applyFont="1" applyBorder="1" applyAlignment="1">
      <alignment horizontal="right" vertical="center"/>
    </xf>
    <xf numFmtId="166" fontId="79" fillId="0" borderId="7" xfId="235" applyNumberFormat="1" applyFont="1" applyBorder="1" applyAlignment="1">
      <alignment vertical="center"/>
    </xf>
    <xf numFmtId="0" fontId="79" fillId="0" borderId="16" xfId="0" applyFont="1" applyBorder="1" applyAlignment="1">
      <alignment horizontal="right" vertical="center" wrapText="1"/>
    </xf>
    <xf numFmtId="1" fontId="79" fillId="0" borderId="16" xfId="0" applyNumberFormat="1" applyFont="1" applyBorder="1" applyAlignment="1">
      <alignment horizontal="right" vertical="center" wrapText="1"/>
    </xf>
    <xf numFmtId="1" fontId="79" fillId="0" borderId="12" xfId="0" applyNumberFormat="1" applyFont="1" applyBorder="1" applyAlignment="1">
      <alignment horizontal="right" vertical="center"/>
    </xf>
    <xf numFmtId="166" fontId="80" fillId="26" borderId="7" xfId="161" applyNumberFormat="1" applyFont="1" applyFill="1" applyBorder="1" applyAlignment="1">
      <alignment vertical="center"/>
    </xf>
    <xf numFmtId="215" fontId="4" fillId="0" borderId="0" xfId="0" applyNumberFormat="1" applyFont="1" applyAlignment="1">
      <alignment vertical="center"/>
    </xf>
    <xf numFmtId="215" fontId="4" fillId="0" borderId="0" xfId="0" applyNumberFormat="1" applyFont="1" applyAlignment="1">
      <alignment horizontal="right" vertical="center"/>
    </xf>
    <xf numFmtId="166" fontId="98" fillId="0" borderId="7" xfId="177" applyNumberFormat="1" applyFont="1" applyFill="1" applyBorder="1" applyAlignment="1">
      <alignment horizontal="right" vertical="center" wrapText="1"/>
    </xf>
    <xf numFmtId="3" fontId="96" fillId="0" borderId="15" xfId="0" applyNumberFormat="1" applyFont="1" applyFill="1" applyBorder="1" applyAlignment="1">
      <alignment horizontal="center" vertical="center"/>
    </xf>
    <xf numFmtId="3" fontId="96" fillId="0" borderId="15" xfId="0" applyNumberFormat="1" applyFont="1" applyFill="1" applyBorder="1" applyAlignment="1">
      <alignment horizontal="right" vertical="center"/>
    </xf>
    <xf numFmtId="3" fontId="96" fillId="0" borderId="16" xfId="0" applyNumberFormat="1" applyFont="1" applyFill="1" applyBorder="1" applyAlignment="1">
      <alignment horizontal="center" vertical="center" wrapText="1"/>
    </xf>
    <xf numFmtId="3" fontId="96" fillId="0" borderId="16" xfId="0" applyNumberFormat="1" applyFont="1" applyFill="1" applyBorder="1" applyAlignment="1">
      <alignment horizontal="center" vertical="center"/>
    </xf>
    <xf numFmtId="3" fontId="98" fillId="0" borderId="7" xfId="0" applyNumberFormat="1" applyFont="1" applyFill="1" applyBorder="1" applyAlignment="1">
      <alignment horizontal="right" vertical="center"/>
    </xf>
    <xf numFmtId="166" fontId="98" fillId="0" borderId="7" xfId="177" applyNumberFormat="1" applyFont="1" applyFill="1" applyBorder="1" applyAlignment="1">
      <alignment vertical="center"/>
    </xf>
    <xf numFmtId="166" fontId="98" fillId="0" borderId="12" xfId="801" applyNumberFormat="1" applyFont="1" applyFill="1" applyBorder="1" applyAlignment="1">
      <alignment horizontal="right" vertical="center"/>
    </xf>
    <xf numFmtId="166" fontId="96" fillId="0" borderId="12" xfId="177" applyNumberFormat="1" applyFont="1" applyFill="1" applyBorder="1" applyAlignment="1">
      <alignment vertical="center" wrapText="1"/>
    </xf>
    <xf numFmtId="166" fontId="96" fillId="0" borderId="12" xfId="801" applyNumberFormat="1" applyFont="1" applyFill="1" applyBorder="1" applyAlignment="1">
      <alignment horizontal="right" vertical="center"/>
    </xf>
    <xf numFmtId="166" fontId="98" fillId="0" borderId="7" xfId="801" applyNumberFormat="1" applyFont="1" applyFill="1" applyBorder="1" applyAlignment="1">
      <alignment horizontal="right" vertical="center"/>
    </xf>
    <xf numFmtId="3" fontId="96" fillId="0" borderId="7" xfId="0" applyNumberFormat="1" applyFont="1" applyFill="1" applyBorder="1" applyAlignment="1">
      <alignment horizontal="right" vertical="center"/>
    </xf>
    <xf numFmtId="166" fontId="96" fillId="0" borderId="7" xfId="177" applyNumberFormat="1" applyFont="1" applyFill="1" applyBorder="1" applyAlignment="1">
      <alignment vertical="center" wrapText="1"/>
    </xf>
    <xf numFmtId="166" fontId="104" fillId="0" borderId="7" xfId="801" applyNumberFormat="1" applyFont="1" applyFill="1" applyBorder="1" applyAlignment="1">
      <alignment horizontal="right" vertical="center"/>
    </xf>
    <xf numFmtId="166" fontId="96" fillId="0" borderId="7" xfId="801" applyNumberFormat="1" applyFont="1" applyFill="1" applyBorder="1" applyAlignment="1">
      <alignment horizontal="right" vertical="center"/>
    </xf>
    <xf numFmtId="3" fontId="98" fillId="0" borderId="7" xfId="0" applyNumberFormat="1" applyFont="1" applyFill="1" applyBorder="1" applyAlignment="1">
      <alignment horizontal="right" vertical="center" wrapText="1"/>
    </xf>
    <xf numFmtId="3" fontId="96" fillId="0" borderId="20" xfId="0" applyNumberFormat="1" applyFont="1" applyFill="1" applyBorder="1" applyAlignment="1">
      <alignment horizontal="right" vertical="center"/>
    </xf>
    <xf numFmtId="166" fontId="96" fillId="0" borderId="7" xfId="177" applyNumberFormat="1" applyFont="1" applyFill="1" applyBorder="1" applyAlignment="1">
      <alignment horizontal="right" vertical="center" wrapText="1"/>
    </xf>
    <xf numFmtId="3" fontId="98" fillId="0" borderId="3" xfId="0" applyNumberFormat="1" applyFont="1" applyFill="1" applyBorder="1" applyAlignment="1">
      <alignment horizontal="right" vertical="center" wrapText="1"/>
    </xf>
    <xf numFmtId="166" fontId="96" fillId="0" borderId="19" xfId="0" applyNumberFormat="1" applyFont="1" applyFill="1" applyBorder="1" applyAlignment="1">
      <alignment horizontal="right" vertical="center"/>
    </xf>
    <xf numFmtId="1" fontId="96" fillId="0" borderId="0" xfId="0" applyNumberFormat="1" applyFont="1" applyFill="1" applyAlignment="1">
      <alignment vertical="center"/>
    </xf>
    <xf numFmtId="166" fontId="96" fillId="0" borderId="19" xfId="177" applyNumberFormat="1" applyFont="1" applyFill="1" applyBorder="1" applyAlignment="1">
      <alignment horizontal="right" vertical="center"/>
    </xf>
    <xf numFmtId="214" fontId="96" fillId="0" borderId="16" xfId="0" applyNumberFormat="1" applyFont="1" applyFill="1" applyBorder="1" applyAlignment="1">
      <alignment horizontal="right" vertical="center"/>
    </xf>
    <xf numFmtId="166" fontId="96" fillId="0" borderId="17" xfId="177" applyNumberFormat="1" applyFont="1" applyFill="1" applyBorder="1" applyAlignment="1">
      <alignment horizontal="right" vertical="center"/>
    </xf>
    <xf numFmtId="214" fontId="96" fillId="0" borderId="17" xfId="0" applyNumberFormat="1" applyFont="1" applyFill="1" applyBorder="1" applyAlignment="1">
      <alignment horizontal="right" vertical="center"/>
    </xf>
    <xf numFmtId="0" fontId="4" fillId="0" borderId="12" xfId="0" applyFont="1" applyBorder="1" applyAlignment="1">
      <alignment vertical="center" wrapText="1"/>
    </xf>
    <xf numFmtId="0" fontId="96" fillId="0" borderId="12" xfId="0" applyFont="1" applyBorder="1" applyAlignment="1">
      <alignment horizontal="center" vertical="center" wrapText="1"/>
    </xf>
    <xf numFmtId="1" fontId="96" fillId="0" borderId="16" xfId="0" applyNumberFormat="1" applyFont="1" applyFill="1" applyBorder="1" applyAlignment="1">
      <alignment horizontal="right" vertical="center"/>
    </xf>
    <xf numFmtId="1" fontId="96" fillId="0" borderId="15" xfId="0" applyNumberFormat="1" applyFont="1" applyFill="1" applyBorder="1" applyAlignment="1">
      <alignment horizontal="right" vertical="center" wrapText="1"/>
    </xf>
    <xf numFmtId="0" fontId="80" fillId="0" borderId="7" xfId="0" applyFont="1" applyBorder="1" applyAlignment="1">
      <alignment horizontal="center" vertical="center" wrapText="1"/>
    </xf>
    <xf numFmtId="0" fontId="89" fillId="0" borderId="16" xfId="0" applyFont="1" applyBorder="1" applyAlignment="1">
      <alignment horizontal="center" vertical="center" wrapText="1"/>
    </xf>
    <xf numFmtId="0" fontId="89" fillId="0" borderId="17" xfId="0" applyFont="1" applyBorder="1" applyAlignment="1">
      <alignment horizontal="center" vertical="center" wrapText="1"/>
    </xf>
    <xf numFmtId="0" fontId="80" fillId="0" borderId="16" xfId="0" applyFont="1" applyBorder="1" applyAlignment="1">
      <alignment horizontal="center" vertical="center" wrapText="1"/>
    </xf>
    <xf numFmtId="0" fontId="80" fillId="0" borderId="17" xfId="0" applyFont="1" applyBorder="1" applyAlignment="1">
      <alignment horizontal="center" vertical="center" wrapText="1"/>
    </xf>
    <xf numFmtId="3" fontId="80" fillId="0" borderId="18" xfId="0" applyNumberFormat="1" applyFont="1" applyBorder="1" applyAlignment="1">
      <alignment horizontal="center" vertical="center" wrapText="1"/>
    </xf>
    <xf numFmtId="3" fontId="80" fillId="0" borderId="12" xfId="0" applyNumberFormat="1" applyFont="1" applyBorder="1" applyAlignment="1">
      <alignment horizontal="center" vertical="center" wrapText="1"/>
    </xf>
    <xf numFmtId="3" fontId="80" fillId="0" borderId="3" xfId="0" applyNumberFormat="1" applyFont="1" applyBorder="1" applyAlignment="1">
      <alignment horizontal="center" vertical="center" wrapText="1"/>
    </xf>
    <xf numFmtId="0" fontId="80" fillId="0" borderId="0" xfId="0" applyFont="1" applyAlignment="1">
      <alignment horizontal="center" vertical="center" wrapText="1"/>
    </xf>
    <xf numFmtId="3" fontId="80" fillId="0" borderId="15" xfId="0" applyNumberFormat="1" applyFont="1" applyBorder="1" applyAlignment="1">
      <alignment horizontal="center" vertical="center" wrapText="1"/>
    </xf>
    <xf numFmtId="3" fontId="80" fillId="0" borderId="16" xfId="0" applyNumberFormat="1" applyFont="1" applyBorder="1" applyAlignment="1">
      <alignment horizontal="center" vertical="center" wrapText="1"/>
    </xf>
    <xf numFmtId="3" fontId="80" fillId="0" borderId="17" xfId="0" applyNumberFormat="1" applyFont="1" applyBorder="1" applyAlignment="1">
      <alignment horizontal="center" vertical="center" wrapText="1"/>
    </xf>
    <xf numFmtId="0" fontId="80" fillId="0" borderId="15" xfId="0" applyFont="1" applyBorder="1" applyAlignment="1">
      <alignment horizontal="center" vertical="center" wrapText="1"/>
    </xf>
    <xf numFmtId="3" fontId="80" fillId="0" borderId="0" xfId="0" applyNumberFormat="1" applyFont="1" applyFill="1" applyBorder="1" applyAlignment="1">
      <alignment horizontal="center" vertical="center" wrapText="1"/>
    </xf>
    <xf numFmtId="3" fontId="80" fillId="0" borderId="0" xfId="0" applyNumberFormat="1" applyFont="1" applyFill="1" applyBorder="1" applyAlignment="1">
      <alignment horizontal="center" vertical="center"/>
    </xf>
    <xf numFmtId="166" fontId="89" fillId="0" borderId="0" xfId="177" applyNumberFormat="1" applyFont="1" applyFill="1" applyBorder="1" applyAlignment="1">
      <alignment horizontal="center" vertical="center"/>
    </xf>
    <xf numFmtId="3" fontId="81"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215" fontId="4" fillId="0" borderId="7" xfId="0" applyNumberFormat="1" applyFont="1" applyBorder="1" applyAlignment="1">
      <alignment horizontal="right" vertical="center"/>
    </xf>
  </cellXfs>
  <cellStyles count="804">
    <cellStyle name="_x0001_" xfId="1"/>
    <cellStyle name="          _x000d__x000a_shell=progman.exe_x000d__x000a_m" xfId="2"/>
    <cellStyle name="??" xfId="3"/>
    <cellStyle name="?? [0.00]_ Att. 1- Cover" xfId="4"/>
    <cellStyle name="?? [0]" xfId="5"/>
    <cellStyle name="?? [0] 10" xfId="6"/>
    <cellStyle name="?? [0] 2" xfId="7"/>
    <cellStyle name="?? [0] 3" xfId="8"/>
    <cellStyle name="?? [0] 4" xfId="9"/>
    <cellStyle name="?? [0] 5" xfId="10"/>
    <cellStyle name="?? [0] 6" xfId="11"/>
    <cellStyle name="?? [0] 7" xfId="12"/>
    <cellStyle name="?? [0] 8" xfId="13"/>
    <cellStyle name="?? [0] 9" xfId="14"/>
    <cellStyle name="?? 10" xfId="15"/>
    <cellStyle name="?? 11" xfId="16"/>
    <cellStyle name="?? 12" xfId="17"/>
    <cellStyle name="?? 13" xfId="18"/>
    <cellStyle name="?? 14" xfId="19"/>
    <cellStyle name="?? 15" xfId="20"/>
    <cellStyle name="?? 16" xfId="21"/>
    <cellStyle name="?? 17" xfId="22"/>
    <cellStyle name="?? 18" xfId="23"/>
    <cellStyle name="?? 19" xfId="24"/>
    <cellStyle name="?? 2" xfId="25"/>
    <cellStyle name="?? 20" xfId="26"/>
    <cellStyle name="?? 21" xfId="27"/>
    <cellStyle name="?? 22" xfId="28"/>
    <cellStyle name="?? 23" xfId="29"/>
    <cellStyle name="?? 24" xfId="30"/>
    <cellStyle name="?? 25" xfId="31"/>
    <cellStyle name="?? 26" xfId="32"/>
    <cellStyle name="?? 27" xfId="33"/>
    <cellStyle name="?? 28" xfId="34"/>
    <cellStyle name="?? 29" xfId="35"/>
    <cellStyle name="?? 3" xfId="36"/>
    <cellStyle name="?? 30" xfId="37"/>
    <cellStyle name="?? 31" xfId="38"/>
    <cellStyle name="?? 4" xfId="39"/>
    <cellStyle name="?? 5" xfId="40"/>
    <cellStyle name="?? 6" xfId="41"/>
    <cellStyle name="?? 7" xfId="42"/>
    <cellStyle name="?? 8" xfId="43"/>
    <cellStyle name="?? 9" xfId="44"/>
    <cellStyle name="?_x001d_??%U©÷u&amp;H©÷9_x0008_? s_x000a__x0007__x0001__x0001_" xfId="46"/>
    <cellStyle name="?_x001d_??%U©÷u&amp;H©÷9_x0008_? s_x000a__x0007__x0001__x0001_ 2" xfId="45"/>
    <cellStyle name="???? [0.00]_List-dwg" xfId="47"/>
    <cellStyle name="????_List-dwg" xfId="48"/>
    <cellStyle name="???[0]_?? DI" xfId="49"/>
    <cellStyle name="???_?? DI" xfId="50"/>
    <cellStyle name="??[0]_BRE" xfId="51"/>
    <cellStyle name="??_ ??? ???? " xfId="52"/>
    <cellStyle name="??A? [0]_laroux_1_¢¬???¢â? " xfId="53"/>
    <cellStyle name="??A?_laroux_1_¢¬???¢â? " xfId="54"/>
    <cellStyle name="?¡±¢¥?_?¨ù??¢´¢¥_¢¬???¢â? " xfId="55"/>
    <cellStyle name="?ðÇ%U?&amp;H?_x0008_?s_x000a__x0007__x0001__x0001_" xfId="56"/>
    <cellStyle name="?ðÇ%U?&amp;H?_x0008_?s_x000a__x0007__x0001__x0001_ 10" xfId="57"/>
    <cellStyle name="?ðÇ%U?&amp;H?_x0008_?s_x000a__x0007__x0001__x0001_ 2" xfId="58"/>
    <cellStyle name="?ðÇ%U?&amp;H?_x0008_?s_x000a__x0007__x0001__x0001_ 3" xfId="59"/>
    <cellStyle name="?ðÇ%U?&amp;H?_x0008_?s_x000a__x0007__x0001__x0001_ 4" xfId="60"/>
    <cellStyle name="?ðÇ%U?&amp;H?_x0008_?s_x000a__x0007__x0001__x0001_ 5" xfId="61"/>
    <cellStyle name="?ðÇ%U?&amp;H?_x0008_?s_x000a__x0007__x0001__x0001_ 6" xfId="62"/>
    <cellStyle name="?ðÇ%U?&amp;H?_x0008_?s_x000a__x0007__x0001__x0001_ 7" xfId="63"/>
    <cellStyle name="?ðÇ%U?&amp;H?_x0008_?s_x000a__x0007__x0001__x0001_ 8" xfId="64"/>
    <cellStyle name="?ðÇ%U?&amp;H?_x0008_?s_x000a__x0007__x0001__x0001_ 9" xfId="65"/>
    <cellStyle name="_KT (2)" xfId="66"/>
    <cellStyle name="_KT (2)_1" xfId="67"/>
    <cellStyle name="_KT (2)_2" xfId="68"/>
    <cellStyle name="_KT (2)_2_TG-TH" xfId="69"/>
    <cellStyle name="_KT (2)_2_TG-TH_Book1" xfId="70"/>
    <cellStyle name="_KT (2)_3" xfId="71"/>
    <cellStyle name="_KT (2)_3_TG-TH" xfId="72"/>
    <cellStyle name="_KT (2)_3_TG-TH_PERSONAL" xfId="73"/>
    <cellStyle name="_KT (2)_3_TG-TH_PERSONAL_Book1" xfId="74"/>
    <cellStyle name="_KT (2)_3_TG-TH_PERSONAL_Tong hop KHCB 2001" xfId="75"/>
    <cellStyle name="_KT (2)_4" xfId="76"/>
    <cellStyle name="_KT (2)_4_Book1" xfId="77"/>
    <cellStyle name="_KT (2)_4_TG-TH" xfId="78"/>
    <cellStyle name="_KT (2)_5" xfId="79"/>
    <cellStyle name="_KT (2)_5_Book1" xfId="80"/>
    <cellStyle name="_KT (2)_PERSONAL" xfId="81"/>
    <cellStyle name="_KT (2)_PERSONAL_Book1" xfId="82"/>
    <cellStyle name="_KT (2)_PERSONAL_Tong hop KHCB 2001" xfId="83"/>
    <cellStyle name="_KT (2)_TG-TH" xfId="84"/>
    <cellStyle name="_KT_TG" xfId="85"/>
    <cellStyle name="_KT_TG_1" xfId="86"/>
    <cellStyle name="_KT_TG_1_Book1" xfId="87"/>
    <cellStyle name="_KT_TG_2" xfId="88"/>
    <cellStyle name="_KT_TG_2_Book1" xfId="89"/>
    <cellStyle name="_KT_TG_3" xfId="90"/>
    <cellStyle name="_KT_TG_4" xfId="91"/>
    <cellStyle name="_PERSONAL" xfId="92"/>
    <cellStyle name="_PERSONAL_Book1" xfId="93"/>
    <cellStyle name="_PERSONAL_Tong hop KHCB 2001" xfId="94"/>
    <cellStyle name="_TG-TH" xfId="95"/>
    <cellStyle name="_TG-TH_1" xfId="96"/>
    <cellStyle name="_TG-TH_1_Book1" xfId="97"/>
    <cellStyle name="_TG-TH_2" xfId="98"/>
    <cellStyle name="_TG-TH_2_Book1" xfId="99"/>
    <cellStyle name="_TG-TH_3" xfId="100"/>
    <cellStyle name="_TG-TH_4" xfId="101"/>
    <cellStyle name="=" xfId="102"/>
    <cellStyle name="=_Book1" xfId="103"/>
    <cellStyle name="•W€_STDFOR" xfId="104"/>
    <cellStyle name="•W_MARINE" xfId="105"/>
    <cellStyle name="W_STDFOR" xfId="106"/>
    <cellStyle name="1" xfId="107"/>
    <cellStyle name="¹éºÐÀ²_±âÅ¸" xfId="108"/>
    <cellStyle name="2" xfId="109"/>
    <cellStyle name="20% - Accent1 2" xfId="110"/>
    <cellStyle name="20% - Accent2 2" xfId="111"/>
    <cellStyle name="20% - Accent3 2" xfId="112"/>
    <cellStyle name="20% - Accent4 2" xfId="113"/>
    <cellStyle name="20% - Accent5 2" xfId="114"/>
    <cellStyle name="20% - Accent6 2" xfId="115"/>
    <cellStyle name="3" xfId="116"/>
    <cellStyle name="4" xfId="117"/>
    <cellStyle name="40% - Accent1 2" xfId="118"/>
    <cellStyle name="40% - Accent2 2" xfId="119"/>
    <cellStyle name="40% - Accent3 2" xfId="120"/>
    <cellStyle name="40% - Accent4 2" xfId="121"/>
    <cellStyle name="40% - Accent5 2" xfId="122"/>
    <cellStyle name="40% - Accent6 2" xfId="123"/>
    <cellStyle name="6" xfId="124"/>
    <cellStyle name="60% - Accent1 2" xfId="125"/>
    <cellStyle name="60% - Accent2 2" xfId="126"/>
    <cellStyle name="60% - Accent3 2" xfId="127"/>
    <cellStyle name="60% - Accent4 2" xfId="128"/>
    <cellStyle name="60% - Accent5 2" xfId="129"/>
    <cellStyle name="60% - Accent6 2" xfId="130"/>
    <cellStyle name="Accent1 2" xfId="131"/>
    <cellStyle name="Accent2 2" xfId="132"/>
    <cellStyle name="Accent3 2" xfId="133"/>
    <cellStyle name="Accent4 2" xfId="134"/>
    <cellStyle name="Accent5 2" xfId="135"/>
    <cellStyle name="Accent6 2" xfId="136"/>
    <cellStyle name="active" xfId="137"/>
    <cellStyle name="ÅëÈ­ [0]_±âÅ¸" xfId="138"/>
    <cellStyle name="AeE­ [0]_INQUIRY ¿µ¾÷AßAø " xfId="139"/>
    <cellStyle name="ÅëÈ­ [0]_L601CPT" xfId="140"/>
    <cellStyle name="ÅëÈ­_±âÅ¸" xfId="141"/>
    <cellStyle name="AeE­_INQUIRY ¿?¾÷AßAø " xfId="142"/>
    <cellStyle name="ÅëÈ­_L601CPT" xfId="143"/>
    <cellStyle name="ÄÞ¸¶ [0]_±âÅ¸" xfId="144"/>
    <cellStyle name="AÞ¸¶ [0]_INQUIRY ¿?¾÷AßAø " xfId="145"/>
    <cellStyle name="ÄÞ¸¶ [0]_L601CPT" xfId="146"/>
    <cellStyle name="ÄÞ¸¶_±âÅ¸" xfId="147"/>
    <cellStyle name="AÞ¸¶_INQUIRY ¿?¾÷AßAø " xfId="148"/>
    <cellStyle name="ÄÞ¸¶_L601CPT" xfId="149"/>
    <cellStyle name="AutoFormat Options" xfId="150"/>
    <cellStyle name="Bad 2" xfId="151"/>
    <cellStyle name="C?AØ_¿?¾÷CoE² " xfId="152"/>
    <cellStyle name="Ç¥ÁØ_#2(M17)_1" xfId="153"/>
    <cellStyle name="C￥AØ_¿μ¾÷CoE² " xfId="154"/>
    <cellStyle name="Ç¥ÁØ_±¸¹Ì´ëÃ¥" xfId="155"/>
    <cellStyle name="Calculation 2" xfId="156"/>
    <cellStyle name="category" xfId="157"/>
    <cellStyle name="Cerrency_Sheet2_XANGDAU" xfId="158"/>
    <cellStyle name="Check Cell 2" xfId="159"/>
    <cellStyle name="CHUONG" xfId="160"/>
    <cellStyle name="Comma" xfId="161" builtinId="3"/>
    <cellStyle name="Comma [0] 2" xfId="162"/>
    <cellStyle name="Comma [0] 2 2" xfId="163"/>
    <cellStyle name="Comma [0] 2 3" xfId="164"/>
    <cellStyle name="Comma [0] 2 4" xfId="165"/>
    <cellStyle name="Comma [0] 2 5" xfId="166"/>
    <cellStyle name="Comma [0] 2 6" xfId="167"/>
    <cellStyle name="Comma [0] 2 7" xfId="168"/>
    <cellStyle name="Comma [0] 3" xfId="169"/>
    <cellStyle name="Comma [0] 3 2" xfId="170"/>
    <cellStyle name="Comma [0] 3 3" xfId="171"/>
    <cellStyle name="Comma [0] 3 4" xfId="172"/>
    <cellStyle name="Comma [0] 3 5" xfId="173"/>
    <cellStyle name="Comma [0] 3 6" xfId="174"/>
    <cellStyle name="Comma [0] 3 7" xfId="175"/>
    <cellStyle name="Comma 10" xfId="176"/>
    <cellStyle name="Comma 10 10" xfId="177"/>
    <cellStyle name="Comma 10 11" xfId="178"/>
    <cellStyle name="Comma 10 2" xfId="179"/>
    <cellStyle name="Comma 10 2 2" xfId="180"/>
    <cellStyle name="Comma 10 3" xfId="181"/>
    <cellStyle name="Comma 10 4" xfId="182"/>
    <cellStyle name="Comma 10 5" xfId="183"/>
    <cellStyle name="Comma 10 6" xfId="184"/>
    <cellStyle name="Comma 10 7" xfId="185"/>
    <cellStyle name="Comma 10 8" xfId="186"/>
    <cellStyle name="Comma 10 9" xfId="187"/>
    <cellStyle name="Comma 11" xfId="188"/>
    <cellStyle name="Comma 11 2" xfId="189"/>
    <cellStyle name="Comma 12" xfId="801"/>
    <cellStyle name="Comma 12 2" xfId="190"/>
    <cellStyle name="Comma 13 2" xfId="191"/>
    <cellStyle name="Comma 14 2" xfId="192"/>
    <cellStyle name="Comma 15 2" xfId="193"/>
    <cellStyle name="Comma 16" xfId="194"/>
    <cellStyle name="Comma 16 10" xfId="195"/>
    <cellStyle name="Comma 16 11" xfId="196"/>
    <cellStyle name="Comma 16 2" xfId="197"/>
    <cellStyle name="Comma 16 3" xfId="198"/>
    <cellStyle name="Comma 16 4" xfId="199"/>
    <cellStyle name="Comma 16 5" xfId="200"/>
    <cellStyle name="Comma 16 6" xfId="201"/>
    <cellStyle name="Comma 16 7" xfId="202"/>
    <cellStyle name="Comma 16 8" xfId="203"/>
    <cellStyle name="Comma 16 9" xfId="204"/>
    <cellStyle name="Comma 17 2" xfId="205"/>
    <cellStyle name="Comma 18 2" xfId="206"/>
    <cellStyle name="Comma 2" xfId="207"/>
    <cellStyle name="Comma 2 10" xfId="208"/>
    <cellStyle name="Comma 2 10 2" xfId="209"/>
    <cellStyle name="Comma 2 11" xfId="210"/>
    <cellStyle name="Comma 2 2" xfId="211"/>
    <cellStyle name="Comma 2 2 2" xfId="212"/>
    <cellStyle name="Comma 2 2 2 10" xfId="213"/>
    <cellStyle name="Comma 2 2 2 2" xfId="214"/>
    <cellStyle name="Comma 2 2 3" xfId="215"/>
    <cellStyle name="Comma 2 2 4" xfId="216"/>
    <cellStyle name="Comma 2 2 5" xfId="217"/>
    <cellStyle name="Comma 2 2 6" xfId="218"/>
    <cellStyle name="Comma 2 2 7" xfId="219"/>
    <cellStyle name="Comma 2 2 8" xfId="220"/>
    <cellStyle name="Comma 2 3" xfId="221"/>
    <cellStyle name="Comma 2 3 2" xfId="222"/>
    <cellStyle name="Comma 2 4" xfId="223"/>
    <cellStyle name="Comma 2 4 2" xfId="224"/>
    <cellStyle name="Comma 2 5" xfId="225"/>
    <cellStyle name="Comma 2 5 2" xfId="226"/>
    <cellStyle name="Comma 2 6" xfId="227"/>
    <cellStyle name="Comma 2 6 2" xfId="228"/>
    <cellStyle name="Comma 2 7" xfId="229"/>
    <cellStyle name="Comma 2 7 2" xfId="230"/>
    <cellStyle name="Comma 2 8" xfId="231"/>
    <cellStyle name="Comma 2 9" xfId="232"/>
    <cellStyle name="Comma 20" xfId="233"/>
    <cellStyle name="Comma 21" xfId="234"/>
    <cellStyle name="Comma 21 2" xfId="235"/>
    <cellStyle name="Comma 21 2 2" xfId="802"/>
    <cellStyle name="Comma 21 3" xfId="236"/>
    <cellStyle name="Comma 22" xfId="237"/>
    <cellStyle name="Comma 23" xfId="238"/>
    <cellStyle name="Comma 24" xfId="239"/>
    <cellStyle name="Comma 25" xfId="240"/>
    <cellStyle name="Comma 3" xfId="241"/>
    <cellStyle name="Comma 3 10" xfId="242"/>
    <cellStyle name="Comma 3 2" xfId="243"/>
    <cellStyle name="Comma 3 2 2" xfId="244"/>
    <cellStyle name="Comma 3 2 3" xfId="245"/>
    <cellStyle name="Comma 3 2 4" xfId="246"/>
    <cellStyle name="Comma 3 2 5" xfId="247"/>
    <cellStyle name="Comma 3 2 6" xfId="248"/>
    <cellStyle name="Comma 3 2 7" xfId="249"/>
    <cellStyle name="Comma 3 2 8" xfId="250"/>
    <cellStyle name="Comma 3 3" xfId="251"/>
    <cellStyle name="Comma 3 4" xfId="252"/>
    <cellStyle name="Comma 3 5" xfId="253"/>
    <cellStyle name="Comma 3 6" xfId="254"/>
    <cellStyle name="Comma 3 7" xfId="255"/>
    <cellStyle name="Comma 3 8" xfId="256"/>
    <cellStyle name="Comma 3 9" xfId="257"/>
    <cellStyle name="Comma 4" xfId="258"/>
    <cellStyle name="Comma 4 2" xfId="259"/>
    <cellStyle name="Comma 4 2 2" xfId="260"/>
    <cellStyle name="Comma 4 2 2 2" xfId="261"/>
    <cellStyle name="Comma 4 2 2 3" xfId="262"/>
    <cellStyle name="Comma 4 2 2 4" xfId="263"/>
    <cellStyle name="Comma 4 2 2 5" xfId="264"/>
    <cellStyle name="Comma 4 2 2 6" xfId="265"/>
    <cellStyle name="Comma 4 2 2 7" xfId="266"/>
    <cellStyle name="Comma 4 2 2 8" xfId="267"/>
    <cellStyle name="Comma 4 2 3" xfId="268"/>
    <cellStyle name="Comma 4 2 4" xfId="269"/>
    <cellStyle name="Comma 4 2 5" xfId="270"/>
    <cellStyle name="Comma 4 2 6" xfId="271"/>
    <cellStyle name="Comma 4 2 7" xfId="272"/>
    <cellStyle name="Comma 4 3" xfId="273"/>
    <cellStyle name="Comma 4 4" xfId="274"/>
    <cellStyle name="Comma 41" xfId="797"/>
    <cellStyle name="Comma 5" xfId="275"/>
    <cellStyle name="Comma 5 2" xfId="276"/>
    <cellStyle name="Comma 6" xfId="277"/>
    <cellStyle name="Comma 6 2" xfId="278"/>
    <cellStyle name="Comma 7" xfId="279"/>
    <cellStyle name="Comma 7 2" xfId="280"/>
    <cellStyle name="Comma 8" xfId="281"/>
    <cellStyle name="Comma 8 2" xfId="282"/>
    <cellStyle name="Comma 9 2" xfId="283"/>
    <cellStyle name="Comma0" xfId="284"/>
    <cellStyle name="Comma0 10" xfId="285"/>
    <cellStyle name="Comma0 2" xfId="286"/>
    <cellStyle name="Comma0 3" xfId="287"/>
    <cellStyle name="Comma0 4" xfId="288"/>
    <cellStyle name="Comma0 5" xfId="289"/>
    <cellStyle name="Comma0 6" xfId="290"/>
    <cellStyle name="Comma0 7" xfId="291"/>
    <cellStyle name="Comma0 8" xfId="292"/>
    <cellStyle name="Comma0 9" xfId="293"/>
    <cellStyle name="Currency0" xfId="294"/>
    <cellStyle name="Currency0 10" xfId="295"/>
    <cellStyle name="Currency0 2" xfId="296"/>
    <cellStyle name="Currency0 3" xfId="297"/>
    <cellStyle name="Currency0 4" xfId="298"/>
    <cellStyle name="Currency0 5" xfId="299"/>
    <cellStyle name="Currency0 6" xfId="300"/>
    <cellStyle name="Currency0 7" xfId="301"/>
    <cellStyle name="Currency0 8" xfId="302"/>
    <cellStyle name="Currency0 9" xfId="303"/>
    <cellStyle name="Date" xfId="304"/>
    <cellStyle name="Date 10" xfId="305"/>
    <cellStyle name="Date 2" xfId="306"/>
    <cellStyle name="Date 3" xfId="307"/>
    <cellStyle name="Date 4" xfId="308"/>
    <cellStyle name="Date 5" xfId="309"/>
    <cellStyle name="Date 6" xfId="310"/>
    <cellStyle name="Date 7" xfId="311"/>
    <cellStyle name="Date 8" xfId="312"/>
    <cellStyle name="Date 9" xfId="313"/>
    <cellStyle name="Dezimal [0]_UXO VII" xfId="314"/>
    <cellStyle name="Dezimal_UXO VII" xfId="315"/>
    <cellStyle name="Euro" xfId="316"/>
    <cellStyle name="Explanatory Text 2" xfId="317"/>
    <cellStyle name="F2" xfId="318"/>
    <cellStyle name="F2 2" xfId="319"/>
    <cellStyle name="F2 2 2" xfId="320"/>
    <cellStyle name="F2 2 3" xfId="321"/>
    <cellStyle name="F2 3" xfId="322"/>
    <cellStyle name="F2 3 2" xfId="323"/>
    <cellStyle name="F2 3 3" xfId="324"/>
    <cellStyle name="F2 4" xfId="325"/>
    <cellStyle name="F2 4 2" xfId="326"/>
    <cellStyle name="F2 4 3" xfId="327"/>
    <cellStyle name="F3" xfId="328"/>
    <cellStyle name="F3 2" xfId="329"/>
    <cellStyle name="F3 2 2" xfId="330"/>
    <cellStyle name="F3 2 3" xfId="331"/>
    <cellStyle name="F3 3" xfId="332"/>
    <cellStyle name="F3 3 2" xfId="333"/>
    <cellStyle name="F3 3 3" xfId="334"/>
    <cellStyle name="F3 4" xfId="335"/>
    <cellStyle name="F3 4 2" xfId="336"/>
    <cellStyle name="F3 4 3" xfId="337"/>
    <cellStyle name="F4" xfId="338"/>
    <cellStyle name="F4 2" xfId="339"/>
    <cellStyle name="F4 2 2" xfId="340"/>
    <cellStyle name="F4 2 3" xfId="341"/>
    <cellStyle name="F4 3" xfId="342"/>
    <cellStyle name="F4 3 2" xfId="343"/>
    <cellStyle name="F4 3 3" xfId="344"/>
    <cellStyle name="F4 4" xfId="345"/>
    <cellStyle name="F4 4 2" xfId="346"/>
    <cellStyle name="F4 4 3" xfId="347"/>
    <cellStyle name="F5" xfId="348"/>
    <cellStyle name="F5 2" xfId="349"/>
    <cellStyle name="F5 2 2" xfId="350"/>
    <cellStyle name="F5 2 3" xfId="351"/>
    <cellStyle name="F5 3" xfId="352"/>
    <cellStyle name="F5 3 2" xfId="353"/>
    <cellStyle name="F5 3 3" xfId="354"/>
    <cellStyle name="F5 4" xfId="355"/>
    <cellStyle name="F5 4 2" xfId="356"/>
    <cellStyle name="F5 4 3" xfId="357"/>
    <cellStyle name="F6" xfId="358"/>
    <cellStyle name="F6 2" xfId="359"/>
    <cellStyle name="F6 2 2" xfId="360"/>
    <cellStyle name="F6 2 3" xfId="361"/>
    <cellStyle name="F6 3" xfId="362"/>
    <cellStyle name="F6 3 2" xfId="363"/>
    <cellStyle name="F6 3 3" xfId="364"/>
    <cellStyle name="F6 4" xfId="365"/>
    <cellStyle name="F6 4 2" xfId="366"/>
    <cellStyle name="F6 4 3" xfId="367"/>
    <cellStyle name="F7" xfId="368"/>
    <cellStyle name="F7 2" xfId="369"/>
    <cellStyle name="F7 2 2" xfId="370"/>
    <cellStyle name="F7 2 3" xfId="371"/>
    <cellStyle name="F7 3" xfId="372"/>
    <cellStyle name="F7 3 2" xfId="373"/>
    <cellStyle name="F7 3 3" xfId="374"/>
    <cellStyle name="F7 4" xfId="375"/>
    <cellStyle name="F7 4 2" xfId="376"/>
    <cellStyle name="F7 4 3" xfId="377"/>
    <cellStyle name="F8" xfId="378"/>
    <cellStyle name="F8 2" xfId="379"/>
    <cellStyle name="F8 2 2" xfId="380"/>
    <cellStyle name="F8 2 3" xfId="381"/>
    <cellStyle name="F8 3" xfId="382"/>
    <cellStyle name="F8 3 2" xfId="383"/>
    <cellStyle name="F8 3 3" xfId="384"/>
    <cellStyle name="F8 4" xfId="385"/>
    <cellStyle name="F8 4 2" xfId="386"/>
    <cellStyle name="F8 4 3" xfId="387"/>
    <cellStyle name="Fixed" xfId="388"/>
    <cellStyle name="Fixed 10" xfId="389"/>
    <cellStyle name="Fixed 2" xfId="390"/>
    <cellStyle name="Fixed 3" xfId="391"/>
    <cellStyle name="Fixed 4" xfId="392"/>
    <cellStyle name="Fixed 5" xfId="393"/>
    <cellStyle name="Fixed 6" xfId="394"/>
    <cellStyle name="Fixed 7" xfId="395"/>
    <cellStyle name="Fixed 8" xfId="396"/>
    <cellStyle name="Fixed 9" xfId="397"/>
    <cellStyle name="Good 2" xfId="398"/>
    <cellStyle name="Grey" xfId="399"/>
    <cellStyle name="Grey 2" xfId="400"/>
    <cellStyle name="HEADER" xfId="401"/>
    <cellStyle name="Header1" xfId="402"/>
    <cellStyle name="Header2" xfId="403"/>
    <cellStyle name="Heading 1 2" xfId="404"/>
    <cellStyle name="Heading 2 2" xfId="405"/>
    <cellStyle name="Heading 3 2" xfId="406"/>
    <cellStyle name="Heading 4 2" xfId="407"/>
    <cellStyle name="Heading1" xfId="408"/>
    <cellStyle name="Heading2" xfId="409"/>
    <cellStyle name="i·0" xfId="410"/>
    <cellStyle name="Input [yellow]" xfId="411"/>
    <cellStyle name="Input [yellow] 2" xfId="412"/>
    <cellStyle name="Input 2" xfId="413"/>
    <cellStyle name="Input 3" xfId="414"/>
    <cellStyle name="Linked Cell 2" xfId="415"/>
    <cellStyle name="Migliaia (0)_CALPREZZ" xfId="416"/>
    <cellStyle name="Migliaia_ PESO ELETTR." xfId="417"/>
    <cellStyle name="Millares [0]_Well Timing" xfId="418"/>
    <cellStyle name="Millares_Well Timing" xfId="419"/>
    <cellStyle name="Model" xfId="420"/>
    <cellStyle name="Moneda [0]_Well Timing" xfId="421"/>
    <cellStyle name="Moneda_Well Timing" xfId="422"/>
    <cellStyle name="n" xfId="423"/>
    <cellStyle name="Neutral 2" xfId="424"/>
    <cellStyle name="ÑONVÒ" xfId="425"/>
    <cellStyle name="Normal" xfId="0" builtinId="0"/>
    <cellStyle name="Normal - Style1" xfId="426"/>
    <cellStyle name="Normal - Style1 10" xfId="427"/>
    <cellStyle name="Normal - Style1 2" xfId="428"/>
    <cellStyle name="Normal - Style1 3" xfId="429"/>
    <cellStyle name="Normal - Style1 3 2" xfId="430"/>
    <cellStyle name="Normal - Style1 3 3" xfId="431"/>
    <cellStyle name="Normal - Style1 4" xfId="432"/>
    <cellStyle name="Normal - Style1 4 2" xfId="433"/>
    <cellStyle name="Normal - Style1 4 3" xfId="434"/>
    <cellStyle name="Normal - Style1 5" xfId="435"/>
    <cellStyle name="Normal - Style1 5 2" xfId="436"/>
    <cellStyle name="Normal - Style1 5 3" xfId="437"/>
    <cellStyle name="Normal - Style1 6" xfId="438"/>
    <cellStyle name="Normal - Style1 7" xfId="439"/>
    <cellStyle name="Normal - Style1 8" xfId="440"/>
    <cellStyle name="Normal - Style1 9" xfId="441"/>
    <cellStyle name="Normal 10" xfId="442"/>
    <cellStyle name="Normal 10 10" xfId="443"/>
    <cellStyle name="Normal 10 11" xfId="444"/>
    <cellStyle name="Normal 10 2" xfId="445"/>
    <cellStyle name="Normal 10 2 3" xfId="795"/>
    <cellStyle name="Normal 10 3" xfId="446"/>
    <cellStyle name="Normal 10 4" xfId="447"/>
    <cellStyle name="Normal 10 5" xfId="448"/>
    <cellStyle name="Normal 10 6" xfId="449"/>
    <cellStyle name="Normal 10 7" xfId="450"/>
    <cellStyle name="Normal 10 8" xfId="451"/>
    <cellStyle name="Normal 10 9" xfId="452"/>
    <cellStyle name="Normal 11" xfId="453"/>
    <cellStyle name="Normal 12" xfId="454"/>
    <cellStyle name="Normal 12 2" xfId="455"/>
    <cellStyle name="Normal 13" xfId="456"/>
    <cellStyle name="Normal 13 10" xfId="457"/>
    <cellStyle name="Normal 13 2" xfId="458"/>
    <cellStyle name="Normal 13 3" xfId="459"/>
    <cellStyle name="Normal 13 4" xfId="460"/>
    <cellStyle name="Normal 13 5" xfId="461"/>
    <cellStyle name="Normal 13 6" xfId="462"/>
    <cellStyle name="Normal 13 7" xfId="463"/>
    <cellStyle name="Normal 13 8" xfId="464"/>
    <cellStyle name="Normal 13 9" xfId="465"/>
    <cellStyle name="Normal 14" xfId="466"/>
    <cellStyle name="Normal 14 2" xfId="467"/>
    <cellStyle name="Normal 14 3" xfId="468"/>
    <cellStyle name="Normal 14 4" xfId="469"/>
    <cellStyle name="Normal 14 5" xfId="470"/>
    <cellStyle name="Normal 14 6" xfId="471"/>
    <cellStyle name="Normal 14 7" xfId="472"/>
    <cellStyle name="Normal 14 8" xfId="473"/>
    <cellStyle name="Normal 14 9" xfId="474"/>
    <cellStyle name="Normal 15" xfId="475"/>
    <cellStyle name="Normal 15 2" xfId="476"/>
    <cellStyle name="Normal 15 3" xfId="477"/>
    <cellStyle name="Normal 15 4" xfId="478"/>
    <cellStyle name="Normal 15 5" xfId="479"/>
    <cellStyle name="Normal 15 6" xfId="480"/>
    <cellStyle name="Normal 15 7" xfId="481"/>
    <cellStyle name="Normal 15 8" xfId="482"/>
    <cellStyle name="Normal 15 9" xfId="483"/>
    <cellStyle name="Normal 16" xfId="484"/>
    <cellStyle name="Normal 16 2" xfId="485"/>
    <cellStyle name="Normal 16 2 2" xfId="486"/>
    <cellStyle name="Normal 16 3" xfId="487"/>
    <cellStyle name="Normal 16 4" xfId="488"/>
    <cellStyle name="Normal 16 5" xfId="489"/>
    <cellStyle name="Normal 16 6" xfId="490"/>
    <cellStyle name="Normal 16 7" xfId="491"/>
    <cellStyle name="Normal 16 8" xfId="492"/>
    <cellStyle name="Normal 16 9" xfId="493"/>
    <cellStyle name="Normal 17" xfId="494"/>
    <cellStyle name="Normal 17 2" xfId="495"/>
    <cellStyle name="Normal 17 3" xfId="496"/>
    <cellStyle name="Normal 18" xfId="497"/>
    <cellStyle name="Normal 18 10" xfId="498"/>
    <cellStyle name="Normal 18 11" xfId="499"/>
    <cellStyle name="Normal 18 2" xfId="500"/>
    <cellStyle name="Normal 18 2 2" xfId="501"/>
    <cellStyle name="Normal 18 3" xfId="502"/>
    <cellStyle name="Normal 18 4" xfId="503"/>
    <cellStyle name="Normal 18 5" xfId="504"/>
    <cellStyle name="Normal 18 6" xfId="505"/>
    <cellStyle name="Normal 18 7" xfId="506"/>
    <cellStyle name="Normal 18 8" xfId="507"/>
    <cellStyle name="Normal 18 9" xfId="508"/>
    <cellStyle name="Normal 19" xfId="509"/>
    <cellStyle name="Normal 19 2" xfId="510"/>
    <cellStyle name="Normal 2" xfId="511"/>
    <cellStyle name="Normal 2 10" xfId="512"/>
    <cellStyle name="Normal 2 10 2" xfId="798"/>
    <cellStyle name="Normal 2 11" xfId="513"/>
    <cellStyle name="Normal 2 12" xfId="514"/>
    <cellStyle name="Normal 2 2" xfId="515"/>
    <cellStyle name="Normal 2 2 10" xfId="516"/>
    <cellStyle name="Normal 2 2 11" xfId="517"/>
    <cellStyle name="Normal 2 2 12" xfId="518"/>
    <cellStyle name="Normal 2 2 2" xfId="519"/>
    <cellStyle name="Normal 2 2 2 2" xfId="520"/>
    <cellStyle name="Normal 2 2 2 3" xfId="521"/>
    <cellStyle name="Normal 2 2 2 4" xfId="522"/>
    <cellStyle name="Normal 2 2 2 5" xfId="523"/>
    <cellStyle name="Normal 2 2 2 6" xfId="524"/>
    <cellStyle name="Normal 2 2 2 7" xfId="525"/>
    <cellStyle name="Normal 2 2 2 8" xfId="526"/>
    <cellStyle name="Normal 2 2 3" xfId="527"/>
    <cellStyle name="Normal 2 2 3 2" xfId="528"/>
    <cellStyle name="Normal 2 2 4" xfId="529"/>
    <cellStyle name="Normal 2 2 5" xfId="530"/>
    <cellStyle name="Normal 2 2 6" xfId="531"/>
    <cellStyle name="Normal 2 2 7" xfId="532"/>
    <cellStyle name="Normal 2 2 8" xfId="533"/>
    <cellStyle name="Normal 2 2 9" xfId="534"/>
    <cellStyle name="Normal 2 3" xfId="535"/>
    <cellStyle name="Normal 2 3 2" xfId="794"/>
    <cellStyle name="Normal 2 4" xfId="536"/>
    <cellStyle name="Normal 2 4 2" xfId="537"/>
    <cellStyle name="Normal 2 5" xfId="538"/>
    <cellStyle name="Normal 2 5 2" xfId="539"/>
    <cellStyle name="Normal 2 6" xfId="540"/>
    <cellStyle name="Normal 2 6 2" xfId="541"/>
    <cellStyle name="Normal 2 7" xfId="542"/>
    <cellStyle name="Normal 2 7 2" xfId="543"/>
    <cellStyle name="Normal 2 8" xfId="544"/>
    <cellStyle name="Normal 2 8 2" xfId="545"/>
    <cellStyle name="Normal 2 9" xfId="546"/>
    <cellStyle name="Normal 2_Dot 2 moi-phan khai ngheo,135, 160 nam 2014" xfId="547"/>
    <cellStyle name="Normal 20" xfId="548"/>
    <cellStyle name="Normal 20 2" xfId="549"/>
    <cellStyle name="Normal 21" xfId="550"/>
    <cellStyle name="Normal 21 2" xfId="551"/>
    <cellStyle name="Normal 21 3" xfId="552"/>
    <cellStyle name="Normal 22" xfId="553"/>
    <cellStyle name="Normal 23 2" xfId="554"/>
    <cellStyle name="Normal 24 2" xfId="555"/>
    <cellStyle name="Normal 25" xfId="556"/>
    <cellStyle name="Normal 25 2" xfId="557"/>
    <cellStyle name="Normal 26 2" xfId="558"/>
    <cellStyle name="Normal 27 2" xfId="559"/>
    <cellStyle name="Normal 28" xfId="560"/>
    <cellStyle name="Normal 3" xfId="561"/>
    <cellStyle name="Normal 3 10" xfId="562"/>
    <cellStyle name="Normal 3 11" xfId="563"/>
    <cellStyle name="Normal 3 2" xfId="564"/>
    <cellStyle name="Normal 3 2 10" xfId="565"/>
    <cellStyle name="Normal 3 2 2" xfId="566"/>
    <cellStyle name="Normal 3 2 2 2" xfId="567"/>
    <cellStyle name="Normal 3 2 3" xfId="568"/>
    <cellStyle name="Normal 3 2 3 2" xfId="569"/>
    <cellStyle name="Normal 3 2 4" xfId="570"/>
    <cellStyle name="Normal 3 2 4 2" xfId="571"/>
    <cellStyle name="Normal 3 2 5" xfId="572"/>
    <cellStyle name="Normal 3 2 5 2" xfId="573"/>
    <cellStyle name="Normal 3 2 6" xfId="574"/>
    <cellStyle name="Normal 3 2 6 2" xfId="575"/>
    <cellStyle name="Normal 3 2 7" xfId="576"/>
    <cellStyle name="Normal 3 2 7 2" xfId="577"/>
    <cellStyle name="Normal 3 2 8" xfId="578"/>
    <cellStyle name="Normal 3 2 9" xfId="579"/>
    <cellStyle name="Normal 3 3" xfId="580"/>
    <cellStyle name="Normal 3 3 2" xfId="581"/>
    <cellStyle name="Normal 3 4" xfId="582"/>
    <cellStyle name="Normal 3 4 2" xfId="583"/>
    <cellStyle name="Normal 3 5" xfId="584"/>
    <cellStyle name="Normal 3 5 2" xfId="585"/>
    <cellStyle name="Normal 3 6" xfId="586"/>
    <cellStyle name="Normal 3 6 2" xfId="587"/>
    <cellStyle name="Normal 3 7" xfId="588"/>
    <cellStyle name="Normal 3 7 2" xfId="589"/>
    <cellStyle name="Normal 3 8" xfId="590"/>
    <cellStyle name="Normal 3 9" xfId="591"/>
    <cellStyle name="Normal 32" xfId="592"/>
    <cellStyle name="Normal 33" xfId="593"/>
    <cellStyle name="Normal 34" xfId="594"/>
    <cellStyle name="Normal 35" xfId="595"/>
    <cellStyle name="Normal 36" xfId="596"/>
    <cellStyle name="Normal 38" xfId="597"/>
    <cellStyle name="Normal 4" xfId="598"/>
    <cellStyle name="Normal 4 10" xfId="599"/>
    <cellStyle name="Normal 4 11" xfId="600"/>
    <cellStyle name="Normal 4 2" xfId="601"/>
    <cellStyle name="Normal 4 2 2" xfId="602"/>
    <cellStyle name="Normal 4 3" xfId="603"/>
    <cellStyle name="Normal 4 4" xfId="604"/>
    <cellStyle name="Normal 4 5" xfId="605"/>
    <cellStyle name="Normal 4 6" xfId="606"/>
    <cellStyle name="Normal 4 7" xfId="607"/>
    <cellStyle name="Normal 4 8" xfId="608"/>
    <cellStyle name="Normal 4 9" xfId="609"/>
    <cellStyle name="Normal 4_11. HTMT dot 3.so KH.thaythe" xfId="610"/>
    <cellStyle name="Normal 5" xfId="611"/>
    <cellStyle name="Normal 5 2" xfId="612"/>
    <cellStyle name="Normal 5 3" xfId="613"/>
    <cellStyle name="Normal 6" xfId="614"/>
    <cellStyle name="Normal 6 2" xfId="615"/>
    <cellStyle name="Normal 6 3" xfId="616"/>
    <cellStyle name="Normal 7" xfId="617"/>
    <cellStyle name="Normal 7 2" xfId="618"/>
    <cellStyle name="Normal 7 3" xfId="619"/>
    <cellStyle name="Normal 8" xfId="620"/>
    <cellStyle name="Normal 8 10" xfId="621"/>
    <cellStyle name="Normal 8 2" xfId="622"/>
    <cellStyle name="Normal 8 3" xfId="623"/>
    <cellStyle name="Normal 8 4" xfId="624"/>
    <cellStyle name="Normal 8 5" xfId="625"/>
    <cellStyle name="Normal 8 6" xfId="626"/>
    <cellStyle name="Normal 8 7" xfId="627"/>
    <cellStyle name="Normal 8 8" xfId="628"/>
    <cellStyle name="Normal 8 9" xfId="629"/>
    <cellStyle name="Normal 9" xfId="630"/>
    <cellStyle name="Normal 9 10" xfId="631"/>
    <cellStyle name="Normal 9 2" xfId="632"/>
    <cellStyle name="Normal 9 2 2" xfId="633"/>
    <cellStyle name="Normal 9 3" xfId="634"/>
    <cellStyle name="Normal 9 4" xfId="635"/>
    <cellStyle name="Normal 9 5" xfId="636"/>
    <cellStyle name="Normal 9 6" xfId="637"/>
    <cellStyle name="Normal 9 7" xfId="638"/>
    <cellStyle name="Normal 9 8" xfId="639"/>
    <cellStyle name="Normal 9 9" xfId="640"/>
    <cellStyle name="Normal_Bieu mau (CV ) 2 10" xfId="796"/>
    <cellStyle name="Normal_Sheet1 2" xfId="800"/>
    <cellStyle name="Normal_Sheet1_1" xfId="799"/>
    <cellStyle name="Normale_ PESO ELETTR." xfId="641"/>
    <cellStyle name="Note 2" xfId="642"/>
    <cellStyle name="Œ…‹æØ‚è [0.00]_laroux" xfId="643"/>
    <cellStyle name="Œ…‹æØ‚è_laroux" xfId="644"/>
    <cellStyle name="oft Excel]_x000d__x000a_Comment=The open=/f lines load custom functions into the Paste Function list._x000d__x000a_Maximized=2_x000d__x000a_Basics=1_x000d__x000a_A" xfId="645"/>
    <cellStyle name="oft Excel]_x000d__x000a_Comment=The open=/f lines load custom functions into the Paste Function list._x000d__x000a_Maximized=3_x000d__x000a_Basics=1_x000d__x000a_A" xfId="646"/>
    <cellStyle name="omma [0]_Mktg Prog" xfId="647"/>
    <cellStyle name="ormal_Sheet1_1" xfId="648"/>
    <cellStyle name="Output 2" xfId="649"/>
    <cellStyle name="Percent" xfId="803" builtinId="5"/>
    <cellStyle name="Percent [2]" xfId="650"/>
    <cellStyle name="Percent [2] 10" xfId="651"/>
    <cellStyle name="Percent [2] 2" xfId="652"/>
    <cellStyle name="Percent [2] 3" xfId="653"/>
    <cellStyle name="Percent [2] 3 2" xfId="654"/>
    <cellStyle name="Percent [2] 3 3" xfId="655"/>
    <cellStyle name="Percent [2] 4" xfId="656"/>
    <cellStyle name="Percent [2] 4 2" xfId="657"/>
    <cellStyle name="Percent [2] 4 3" xfId="658"/>
    <cellStyle name="Percent [2] 5" xfId="659"/>
    <cellStyle name="Percent [2] 5 2" xfId="660"/>
    <cellStyle name="Percent [2] 5 3" xfId="661"/>
    <cellStyle name="Percent [2] 6" xfId="662"/>
    <cellStyle name="Percent [2] 7" xfId="663"/>
    <cellStyle name="Percent [2] 8" xfId="664"/>
    <cellStyle name="Percent [2] 9" xfId="665"/>
    <cellStyle name="Percent 10 2" xfId="666"/>
    <cellStyle name="Percent 11 2" xfId="667"/>
    <cellStyle name="Percent 12 2" xfId="668"/>
    <cellStyle name="Percent 13 2" xfId="669"/>
    <cellStyle name="Percent 14 2" xfId="670"/>
    <cellStyle name="Percent 15" xfId="671"/>
    <cellStyle name="Percent 16" xfId="672"/>
    <cellStyle name="Percent 17" xfId="673"/>
    <cellStyle name="Percent 18" xfId="674"/>
    <cellStyle name="Percent 19" xfId="675"/>
    <cellStyle name="Percent 2" xfId="676"/>
    <cellStyle name="Percent 2 10" xfId="677"/>
    <cellStyle name="Percent 2 11" xfId="678"/>
    <cellStyle name="Percent 2 2" xfId="679"/>
    <cellStyle name="Percent 2 2 2" xfId="680"/>
    <cellStyle name="Percent 2 2 3" xfId="681"/>
    <cellStyle name="Percent 2 2 4" xfId="682"/>
    <cellStyle name="Percent 2 2 5" xfId="683"/>
    <cellStyle name="Percent 2 2 6" xfId="684"/>
    <cellStyle name="Percent 2 2 7" xfId="685"/>
    <cellStyle name="Percent 2 2 8" xfId="686"/>
    <cellStyle name="Percent 2 3" xfId="687"/>
    <cellStyle name="Percent 2 4" xfId="688"/>
    <cellStyle name="Percent 2 5" xfId="689"/>
    <cellStyle name="Percent 2 6" xfId="690"/>
    <cellStyle name="Percent 2 7" xfId="691"/>
    <cellStyle name="Percent 2 8" xfId="692"/>
    <cellStyle name="Percent 2 9" xfId="693"/>
    <cellStyle name="Percent 20" xfId="694"/>
    <cellStyle name="Percent 21" xfId="695"/>
    <cellStyle name="Percent 3" xfId="696"/>
    <cellStyle name="Percent 3 2" xfId="697"/>
    <cellStyle name="Percent 3 2 2" xfId="698"/>
    <cellStyle name="Percent 3 2 3" xfId="699"/>
    <cellStyle name="Percent 3 2 4" xfId="700"/>
    <cellStyle name="Percent 3 2 5" xfId="701"/>
    <cellStyle name="Percent 3 2 6" xfId="702"/>
    <cellStyle name="Percent 3 2 7" xfId="703"/>
    <cellStyle name="Percent 3 2 8" xfId="704"/>
    <cellStyle name="Percent 3 3" xfId="705"/>
    <cellStyle name="Percent 3 3 2" xfId="706"/>
    <cellStyle name="Percent 3 4" xfId="707"/>
    <cellStyle name="Percent 3 5" xfId="708"/>
    <cellStyle name="Percent 3 6" xfId="709"/>
    <cellStyle name="Percent 3 7" xfId="710"/>
    <cellStyle name="Percent 4" xfId="711"/>
    <cellStyle name="Percent 4 2" xfId="712"/>
    <cellStyle name="Percent 4 2 2" xfId="713"/>
    <cellStyle name="Percent 4 3" xfId="714"/>
    <cellStyle name="Percent 4 4" xfId="715"/>
    <cellStyle name="Percent 5" xfId="716"/>
    <cellStyle name="Percent 5 2" xfId="717"/>
    <cellStyle name="Percent 5 3" xfId="718"/>
    <cellStyle name="Percent 5 4" xfId="719"/>
    <cellStyle name="Percent 6" xfId="720"/>
    <cellStyle name="Percent 7 2" xfId="721"/>
    <cellStyle name="Percent 8 2" xfId="722"/>
    <cellStyle name="Percent 9 2" xfId="723"/>
    <cellStyle name="S—_x0008_" xfId="724"/>
    <cellStyle name="s]_x000d__x000a_spooler=yes_x000d__x000a_load=_x000d__x000a_Beep=yes_x000d__x000a_NullPort=None_x000d__x000a_BorderWidth=3_x000d__x000a_CursorBlinkRate=1200_x000d__x000a_DoubleClickSpeed=452_x000d__x000a_Programs=co" xfId="725"/>
    <cellStyle name="Siêu nối kết_Book1" xfId="726"/>
    <cellStyle name="style" xfId="727"/>
    <cellStyle name="Style 1" xfId="728"/>
    <cellStyle name="Style 2" xfId="729"/>
    <cellStyle name="Style 3" xfId="730"/>
    <cellStyle name="Style 4" xfId="731"/>
    <cellStyle name="Style 5" xfId="732"/>
    <cellStyle name="Style 6" xfId="733"/>
    <cellStyle name="Style 7" xfId="734"/>
    <cellStyle name="Style 8" xfId="735"/>
    <cellStyle name="Style 9" xfId="736"/>
    <cellStyle name="style_chau 14-3-2017" xfId="737"/>
    <cellStyle name="subhead" xfId="738"/>
    <cellStyle name="T" xfId="739"/>
    <cellStyle name="T 2" xfId="740"/>
    <cellStyle name="T_Book1" xfId="741"/>
    <cellStyle name="T_Book1_chau 14-3-2017" xfId="742"/>
    <cellStyle name="T_Book1_QD giao von CBDT 2016-theo Hieu gui PA 4 gui UB - sua 1" xfId="743"/>
    <cellStyle name="T_chau 14-3-2017" xfId="744"/>
    <cellStyle name="T_PL1_1" xfId="745"/>
    <cellStyle name="T_PL1_1_chau 14-3-2017" xfId="746"/>
    <cellStyle name="T_PL1_1_QD giao von CBDT 2016-theo Hieu gui PA 4 gui UB - sua 1" xfId="747"/>
    <cellStyle name="T_PL1_1-Dung" xfId="748"/>
    <cellStyle name="T_PL1_1-Dung_chau 14-3-2017" xfId="749"/>
    <cellStyle name="T_PL1_1-Dung_QD giao von CBDT 2016-theo Hieu gui PA 4 gui UB - sua 1" xfId="750"/>
    <cellStyle name="T_QD giao von CBDT 2016-theo Hieu gui PA 4 gui UB - sua 1" xfId="751"/>
    <cellStyle name="th" xfId="752"/>
    <cellStyle name="th 2" xfId="753"/>
    <cellStyle name="than" xfId="754"/>
    <cellStyle name="þ_x001d_ð·_x000c_æþ'_x000d_ßþU_x0001_Ø_x0005_ü_x0014__x0007__x0001__x0001_" xfId="755"/>
    <cellStyle name="þ_x001d_ðÇ%Uý—&amp;Hý9_x0008_Ÿ s_x000a__x0007__x0001__x0001_" xfId="757"/>
    <cellStyle name="þ_x001d_ðÇ%Uý—&amp;Hý9_x0008_Ÿ s_x000a__x0007__x0001__x0001_ 2" xfId="756"/>
    <cellStyle name="Title 2" xfId="758"/>
    <cellStyle name="Total 2" xfId="759"/>
    <cellStyle name="Valuta (0)_CALPREZZ" xfId="760"/>
    <cellStyle name="Valuta_ PESO ELETTR." xfId="761"/>
    <cellStyle name="viet" xfId="762"/>
    <cellStyle name="viet 2" xfId="763"/>
    <cellStyle name="viet2" xfId="764"/>
    <cellStyle name="viet2 2" xfId="765"/>
    <cellStyle name="Währung [0]_UXO VII" xfId="766"/>
    <cellStyle name="Währung_UXO VII" xfId="767"/>
    <cellStyle name="Warning Text 2" xfId="768"/>
    <cellStyle name=" [0.00]_ Att. 1- Cover" xfId="769"/>
    <cellStyle name="_ Att. 1- Cover" xfId="770"/>
    <cellStyle name="?_ Att. 1- Cover" xfId="771"/>
    <cellStyle name="똿뗦먛귟 [0.00]_PRODUCT DETAIL Q1" xfId="772"/>
    <cellStyle name="똿뗦먛귟_PRODUCT DETAIL Q1" xfId="773"/>
    <cellStyle name="믅됞 [0.00]_PRODUCT DETAIL Q1" xfId="774"/>
    <cellStyle name="믅됞_PRODUCT DETAIL Q1" xfId="775"/>
    <cellStyle name="백분율_95" xfId="776"/>
    <cellStyle name="뷭?_BOOKSHIP" xfId="777"/>
    <cellStyle name="콤마 [0]_ 비목별 월별기술 " xfId="778"/>
    <cellStyle name="콤마_ 비목별 월별기술 " xfId="779"/>
    <cellStyle name="통화 [0]_1202" xfId="780"/>
    <cellStyle name="통화_1202" xfId="781"/>
    <cellStyle name="표준_(정보부문)월별인원계획" xfId="782"/>
    <cellStyle name="一般_00Q3902REV.1" xfId="783"/>
    <cellStyle name="千分位[0]_00Q3902REV.1" xfId="784"/>
    <cellStyle name="千分位_00Q3902REV.1" xfId="785"/>
    <cellStyle name="桁区切り [0.00]_DISTRO" xfId="786"/>
    <cellStyle name="桁区切り_DISTRO" xfId="787"/>
    <cellStyle name="標準_BQ（業者）" xfId="788"/>
    <cellStyle name="貨幣 [0]_00Q3902REV.1" xfId="789"/>
    <cellStyle name="貨幣[0]_BRE" xfId="790"/>
    <cellStyle name="貨幣_00Q3902REV.1" xfId="791"/>
    <cellStyle name="通貨 [0.00]_DISTRO" xfId="792"/>
    <cellStyle name="通貨_DISTRO" xfId="79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360;NG%20AN%20B&#204;NH/N&#259;m%202024/B&#225;o%20c&#225;o%20x&#226;y%20d&#7921;ng%20c&#417;%20b&#7843;n%20n&#259;m%202024/B&#225;o%20c&#225;o%20g&#7917;i%20SKH&#272;T/B&#225;o%20c&#225;o%20K&#7871;t%20qu&#7843;n%20gi&#7843;i%20ng&#226;n%20&#273;&#7873;n%2021-10/BC%20gi&#7843;i%20ng&#226;n%20%20n&#259;m%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360;NG%20AN%20B&#204;NH/N&#259;m%202023/BC%20XDCB%20%20n&#259;m%202022-KH%2023/B&#225;o%20c&#225;o%20XDCB%20h&#224;ng%20th&#225;ng%20UBND%20huy&#7879;n/BC%20qu&#253;%20III-m&#417;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DP thang"/>
      <sheetName val="Tổng hợp"/>
    </sheetNames>
    <sheetDataSet>
      <sheetData sheetId="0">
        <row r="15">
          <cell r="T15">
            <v>139.53697399999999</v>
          </cell>
          <cell r="Y15">
            <v>140</v>
          </cell>
          <cell r="AD15">
            <v>140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DP thang"/>
      <sheetName val="Tổng hợp"/>
    </sheetNames>
    <sheetDataSet>
      <sheetData sheetId="0">
        <row r="89">
          <cell r="M89">
            <v>1519</v>
          </cell>
        </row>
        <row r="111">
          <cell r="M111">
            <v>1224</v>
          </cell>
        </row>
        <row r="123">
          <cell r="L123">
            <v>284279.027</v>
          </cell>
          <cell r="M123">
            <v>8699.8619999999992</v>
          </cell>
        </row>
        <row r="268">
          <cell r="L268">
            <v>85989.584000000003</v>
          </cell>
          <cell r="M268">
            <v>3154</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89"/>
  <sheetViews>
    <sheetView zoomScale="85" zoomScaleNormal="85" zoomScaleSheetLayoutView="70" workbookViewId="0">
      <selection activeCell="P7" sqref="P7:P8"/>
    </sheetView>
  </sheetViews>
  <sheetFormatPr defaultRowHeight="15.75"/>
  <cols>
    <col min="1" max="1" width="5" style="16" customWidth="1"/>
    <col min="2" max="2" width="45.140625" style="4" customWidth="1"/>
    <col min="3" max="3" width="14.5703125" style="16" customWidth="1"/>
    <col min="4" max="4" width="10.85546875" style="16" customWidth="1"/>
    <col min="5" max="5" width="13.140625" style="16" hidden="1" customWidth="1"/>
    <col min="6" max="7" width="11.85546875" style="16" hidden="1" customWidth="1"/>
    <col min="8" max="8" width="43.5703125" style="16" hidden="1" customWidth="1"/>
    <col min="9" max="9" width="9" style="16" customWidth="1"/>
    <col min="10" max="10" width="13.5703125" style="16" customWidth="1"/>
    <col min="11" max="11" width="12.28515625" style="44" customWidth="1"/>
    <col min="12" max="12" width="9" style="44" customWidth="1"/>
    <col min="13" max="13" width="12.140625" style="44" customWidth="1"/>
    <col min="14" max="14" width="9.85546875" style="44" customWidth="1"/>
    <col min="15" max="15" width="8.85546875" style="40" customWidth="1"/>
    <col min="16" max="16" width="9.140625" style="196" customWidth="1"/>
    <col min="17" max="17" width="10.42578125" style="40" customWidth="1"/>
    <col min="18" max="18" width="10.42578125" style="44" customWidth="1"/>
    <col min="19" max="19" width="10.28515625" style="191" customWidth="1"/>
    <col min="20" max="20" width="9" style="196" customWidth="1"/>
    <col min="21" max="22" width="9.85546875" style="196" customWidth="1"/>
    <col min="23" max="23" width="9.85546875" style="44" customWidth="1"/>
    <col min="24" max="24" width="10.28515625" style="191" customWidth="1"/>
    <col min="25" max="25" width="9" style="196" customWidth="1"/>
    <col min="26" max="26" width="9.7109375" style="196" customWidth="1"/>
    <col min="27" max="27" width="9.85546875" style="196" customWidth="1"/>
    <col min="28" max="28" width="9.85546875" style="44" customWidth="1"/>
    <col min="29" max="29" width="10.28515625" style="191" customWidth="1"/>
    <col min="30" max="30" width="9" style="196" customWidth="1"/>
    <col min="31" max="32" width="9.85546875" style="196" customWidth="1"/>
    <col min="33" max="33" width="9.85546875" style="44" customWidth="1"/>
    <col min="34" max="34" width="9.85546875" style="4" customWidth="1"/>
    <col min="35" max="35" width="9.140625" style="4"/>
    <col min="36" max="36" width="11.7109375" style="4" bestFit="1" customWidth="1"/>
    <col min="37" max="16384" width="9.140625" style="4"/>
  </cols>
  <sheetData>
    <row r="1" spans="1:34">
      <c r="A1" s="667"/>
      <c r="B1" s="667"/>
      <c r="C1" s="667"/>
      <c r="D1" s="667"/>
      <c r="E1" s="667"/>
      <c r="F1" s="667"/>
      <c r="G1" s="667"/>
      <c r="H1" s="667"/>
      <c r="I1" s="667"/>
      <c r="J1" s="667"/>
      <c r="K1" s="667"/>
      <c r="L1" s="667"/>
      <c r="M1" s="667"/>
      <c r="N1" s="166"/>
      <c r="O1" s="166"/>
      <c r="P1" s="194"/>
      <c r="Q1" s="166"/>
      <c r="R1" s="166"/>
      <c r="S1" s="194"/>
      <c r="T1" s="194"/>
      <c r="U1" s="194"/>
      <c r="V1" s="195"/>
      <c r="X1" s="194"/>
      <c r="Y1" s="194"/>
      <c r="Z1" s="194"/>
      <c r="AA1" s="195"/>
      <c r="AC1" s="194"/>
      <c r="AD1" s="194"/>
      <c r="AE1" s="194"/>
      <c r="AF1" s="674" t="s">
        <v>621</v>
      </c>
      <c r="AG1" s="674"/>
      <c r="AH1" s="168"/>
    </row>
    <row r="2" spans="1:34" ht="29.25" customHeight="1">
      <c r="A2" s="672" t="s">
        <v>776</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c r="AH2" s="673"/>
    </row>
    <row r="3" spans="1:34" ht="21" customHeight="1">
      <c r="A3" s="675" t="s">
        <v>783</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c r="AH3" s="675"/>
    </row>
    <row r="4" spans="1:34">
      <c r="A4" s="676" t="s">
        <v>782</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6"/>
    </row>
    <row r="5" spans="1:34" ht="18" customHeight="1">
      <c r="A5" s="5"/>
      <c r="B5" s="6"/>
      <c r="C5" s="5"/>
      <c r="D5" s="5"/>
      <c r="E5" s="5"/>
      <c r="F5" s="5"/>
      <c r="G5" s="5"/>
      <c r="H5" s="167"/>
      <c r="I5" s="167"/>
      <c r="J5" s="5"/>
      <c r="K5" s="45"/>
      <c r="L5" s="45"/>
      <c r="M5" s="45"/>
      <c r="N5" s="45"/>
      <c r="O5" s="45"/>
      <c r="P5" s="187"/>
      <c r="Q5" s="45"/>
      <c r="R5" s="45"/>
      <c r="S5" s="187"/>
      <c r="T5" s="187"/>
      <c r="U5" s="187"/>
      <c r="V5" s="187"/>
      <c r="W5" s="629"/>
      <c r="X5" s="187"/>
      <c r="Y5" s="187"/>
      <c r="Z5" s="187"/>
      <c r="AA5" s="187"/>
      <c r="AB5" s="45"/>
      <c r="AC5" s="187"/>
      <c r="AD5" s="187"/>
      <c r="AE5" s="187"/>
      <c r="AF5" s="187"/>
      <c r="AG5" s="45"/>
      <c r="AH5" s="8" t="s">
        <v>38</v>
      </c>
    </row>
    <row r="6" spans="1:34" s="9" customFormat="1" ht="47.25" customHeight="1">
      <c r="A6" s="668" t="s">
        <v>13</v>
      </c>
      <c r="B6" s="671" t="s">
        <v>0</v>
      </c>
      <c r="C6" s="664" t="s">
        <v>1</v>
      </c>
      <c r="D6" s="664" t="s">
        <v>62</v>
      </c>
      <c r="E6" s="664" t="s">
        <v>2</v>
      </c>
      <c r="F6" s="664" t="s">
        <v>3</v>
      </c>
      <c r="G6" s="664" t="s">
        <v>4</v>
      </c>
      <c r="H6" s="664" t="s">
        <v>5</v>
      </c>
      <c r="I6" s="664" t="s">
        <v>6</v>
      </c>
      <c r="J6" s="668" t="s">
        <v>546</v>
      </c>
      <c r="K6" s="668" t="s">
        <v>25</v>
      </c>
      <c r="L6" s="668"/>
      <c r="M6" s="668" t="s">
        <v>37</v>
      </c>
      <c r="N6" s="671" t="s">
        <v>165</v>
      </c>
      <c r="O6" s="671"/>
      <c r="P6" s="671"/>
      <c r="Q6" s="671"/>
      <c r="R6" s="671"/>
      <c r="S6" s="671" t="s">
        <v>33</v>
      </c>
      <c r="T6" s="671"/>
      <c r="U6" s="671"/>
      <c r="V6" s="671"/>
      <c r="W6" s="671"/>
      <c r="X6" s="659" t="s">
        <v>777</v>
      </c>
      <c r="Y6" s="659"/>
      <c r="Z6" s="659"/>
      <c r="AA6" s="659"/>
      <c r="AB6" s="659"/>
      <c r="AC6" s="659" t="s">
        <v>778</v>
      </c>
      <c r="AD6" s="659"/>
      <c r="AE6" s="659"/>
      <c r="AF6" s="659"/>
      <c r="AG6" s="659"/>
      <c r="AH6" s="671" t="s">
        <v>7</v>
      </c>
    </row>
    <row r="7" spans="1:34" s="9" customFormat="1" ht="39.75" customHeight="1">
      <c r="A7" s="669"/>
      <c r="B7" s="662"/>
      <c r="C7" s="665"/>
      <c r="D7" s="665"/>
      <c r="E7" s="665"/>
      <c r="F7" s="665"/>
      <c r="G7" s="665"/>
      <c r="H7" s="665"/>
      <c r="I7" s="665"/>
      <c r="J7" s="669"/>
      <c r="K7" s="669" t="s">
        <v>31</v>
      </c>
      <c r="L7" s="669" t="s">
        <v>26</v>
      </c>
      <c r="M7" s="669"/>
      <c r="N7" s="662" t="s">
        <v>40</v>
      </c>
      <c r="O7" s="662" t="s">
        <v>15</v>
      </c>
      <c r="P7" s="660" t="s">
        <v>30</v>
      </c>
      <c r="Q7" s="662" t="s">
        <v>16</v>
      </c>
      <c r="R7" s="662" t="s">
        <v>68</v>
      </c>
      <c r="S7" s="660" t="s">
        <v>8</v>
      </c>
      <c r="T7" s="660" t="s">
        <v>15</v>
      </c>
      <c r="U7" s="660" t="s">
        <v>30</v>
      </c>
      <c r="V7" s="660" t="s">
        <v>16</v>
      </c>
      <c r="W7" s="662" t="s">
        <v>68</v>
      </c>
      <c r="X7" s="660" t="s">
        <v>8</v>
      </c>
      <c r="Y7" s="660" t="s">
        <v>15</v>
      </c>
      <c r="Z7" s="660" t="s">
        <v>30</v>
      </c>
      <c r="AA7" s="660" t="s">
        <v>16</v>
      </c>
      <c r="AB7" s="662" t="s">
        <v>68</v>
      </c>
      <c r="AC7" s="660" t="s">
        <v>8</v>
      </c>
      <c r="AD7" s="660" t="s">
        <v>15</v>
      </c>
      <c r="AE7" s="660" t="s">
        <v>30</v>
      </c>
      <c r="AF7" s="660" t="s">
        <v>16</v>
      </c>
      <c r="AG7" s="662" t="s">
        <v>68</v>
      </c>
      <c r="AH7" s="662"/>
    </row>
    <row r="8" spans="1:34" s="9" customFormat="1" ht="75" customHeight="1">
      <c r="A8" s="670"/>
      <c r="B8" s="663"/>
      <c r="C8" s="666"/>
      <c r="D8" s="666"/>
      <c r="E8" s="666"/>
      <c r="F8" s="666"/>
      <c r="G8" s="666"/>
      <c r="H8" s="666"/>
      <c r="I8" s="666"/>
      <c r="J8" s="670"/>
      <c r="K8" s="670"/>
      <c r="L8" s="670"/>
      <c r="M8" s="670"/>
      <c r="N8" s="663"/>
      <c r="O8" s="663"/>
      <c r="P8" s="661"/>
      <c r="Q8" s="663"/>
      <c r="R8" s="663"/>
      <c r="S8" s="661"/>
      <c r="T8" s="661"/>
      <c r="U8" s="661"/>
      <c r="V8" s="661"/>
      <c r="W8" s="663"/>
      <c r="X8" s="661"/>
      <c r="Y8" s="661"/>
      <c r="Z8" s="661"/>
      <c r="AA8" s="661"/>
      <c r="AB8" s="663"/>
      <c r="AC8" s="661"/>
      <c r="AD8" s="661"/>
      <c r="AE8" s="661"/>
      <c r="AF8" s="661"/>
      <c r="AG8" s="663"/>
      <c r="AH8" s="663"/>
    </row>
    <row r="9" spans="1:34">
      <c r="A9" s="80"/>
      <c r="B9" s="81" t="s">
        <v>12</v>
      </c>
      <c r="C9" s="82"/>
      <c r="D9" s="83"/>
      <c r="E9" s="83"/>
      <c r="F9" s="84"/>
      <c r="G9" s="85"/>
      <c r="H9" s="86"/>
      <c r="I9" s="87"/>
      <c r="J9" s="82"/>
      <c r="K9" s="88">
        <f t="shared" ref="K9:W9" si="0">K10+K19</f>
        <v>918715.80700000003</v>
      </c>
      <c r="L9" s="88">
        <f t="shared" si="0"/>
        <v>26552.245777</v>
      </c>
      <c r="M9" s="88">
        <f t="shared" si="0"/>
        <v>0</v>
      </c>
      <c r="N9" s="88">
        <f t="shared" si="0"/>
        <v>236730.34599999999</v>
      </c>
      <c r="O9" s="88">
        <f t="shared" si="0"/>
        <v>11560</v>
      </c>
      <c r="P9" s="188">
        <f t="shared" si="0"/>
        <v>57000.255999999994</v>
      </c>
      <c r="Q9" s="88">
        <f t="shared" si="0"/>
        <v>136825</v>
      </c>
      <c r="R9" s="88">
        <f t="shared" si="0"/>
        <v>31345.09</v>
      </c>
      <c r="S9" s="188">
        <f t="shared" si="0"/>
        <v>204753.91297399998</v>
      </c>
      <c r="T9" s="188">
        <f t="shared" si="0"/>
        <v>10068.512973999999</v>
      </c>
      <c r="U9" s="188">
        <f t="shared" si="0"/>
        <v>46853.0245</v>
      </c>
      <c r="V9" s="188">
        <f t="shared" si="0"/>
        <v>116487.2855</v>
      </c>
      <c r="W9" s="88">
        <f t="shared" si="0"/>
        <v>31345.09</v>
      </c>
      <c r="X9" s="88">
        <f t="shared" ref="X9:AB9" si="1">X10+X19</f>
        <v>236730.34599999999</v>
      </c>
      <c r="Y9" s="88">
        <f t="shared" si="1"/>
        <v>11560</v>
      </c>
      <c r="Z9" s="188">
        <f t="shared" si="1"/>
        <v>57000.255999999994</v>
      </c>
      <c r="AA9" s="88">
        <f t="shared" si="1"/>
        <v>136825</v>
      </c>
      <c r="AB9" s="88">
        <f t="shared" si="1"/>
        <v>31345.09</v>
      </c>
      <c r="AC9" s="88">
        <f t="shared" ref="AC9:AG9" si="2">AC10+AC19</f>
        <v>236730.34599999999</v>
      </c>
      <c r="AD9" s="88">
        <f t="shared" si="2"/>
        <v>11560</v>
      </c>
      <c r="AE9" s="188">
        <f t="shared" si="2"/>
        <v>57000.255999999994</v>
      </c>
      <c r="AF9" s="88">
        <f t="shared" si="2"/>
        <v>136825</v>
      </c>
      <c r="AG9" s="88">
        <f t="shared" si="2"/>
        <v>31345.09</v>
      </c>
      <c r="AH9" s="400"/>
    </row>
    <row r="10" spans="1:34">
      <c r="A10" s="89" t="s">
        <v>17</v>
      </c>
      <c r="B10" s="90" t="s">
        <v>18</v>
      </c>
      <c r="C10" s="14"/>
      <c r="D10" s="18"/>
      <c r="E10" s="18"/>
      <c r="F10" s="24"/>
      <c r="G10" s="91"/>
      <c r="H10" s="3"/>
      <c r="I10" s="92"/>
      <c r="J10" s="14"/>
      <c r="K10" s="93">
        <f>+K11+K13</f>
        <v>104175</v>
      </c>
      <c r="L10" s="93"/>
      <c r="M10" s="93">
        <f>+M11+M13</f>
        <v>0</v>
      </c>
      <c r="N10" s="93">
        <f>+N11+N13</f>
        <v>940</v>
      </c>
      <c r="O10" s="93">
        <f t="shared" ref="O10:AH10" si="3">+O11+O13</f>
        <v>940</v>
      </c>
      <c r="P10" s="93">
        <f t="shared" si="3"/>
        <v>0</v>
      </c>
      <c r="Q10" s="93">
        <f t="shared" si="3"/>
        <v>0</v>
      </c>
      <c r="R10" s="93">
        <f t="shared" si="3"/>
        <v>0</v>
      </c>
      <c r="S10" s="93">
        <f t="shared" si="3"/>
        <v>469.53697399999999</v>
      </c>
      <c r="T10" s="93">
        <f t="shared" si="3"/>
        <v>469.53697399999999</v>
      </c>
      <c r="U10" s="93">
        <f t="shared" si="3"/>
        <v>0</v>
      </c>
      <c r="V10" s="93">
        <f t="shared" si="3"/>
        <v>0</v>
      </c>
      <c r="W10" s="93">
        <f t="shared" si="3"/>
        <v>0</v>
      </c>
      <c r="X10" s="93">
        <f>+X11+X13</f>
        <v>940</v>
      </c>
      <c r="Y10" s="93">
        <f t="shared" ref="Y10:AB10" si="4">+Y11+Y13</f>
        <v>940</v>
      </c>
      <c r="Z10" s="93">
        <f t="shared" si="4"/>
        <v>0</v>
      </c>
      <c r="AA10" s="93">
        <f t="shared" si="4"/>
        <v>0</v>
      </c>
      <c r="AB10" s="93">
        <f t="shared" si="4"/>
        <v>0</v>
      </c>
      <c r="AC10" s="93">
        <f>+AC11+AC13</f>
        <v>940</v>
      </c>
      <c r="AD10" s="93">
        <f t="shared" ref="AD10:AG10" si="5">+AD11+AD13</f>
        <v>940</v>
      </c>
      <c r="AE10" s="93">
        <f t="shared" si="5"/>
        <v>0</v>
      </c>
      <c r="AF10" s="93">
        <f t="shared" si="5"/>
        <v>0</v>
      </c>
      <c r="AG10" s="93">
        <f t="shared" si="5"/>
        <v>0</v>
      </c>
      <c r="AH10" s="93">
        <f t="shared" si="3"/>
        <v>0</v>
      </c>
    </row>
    <row r="11" spans="1:34">
      <c r="A11" s="414" t="s">
        <v>9</v>
      </c>
      <c r="B11" s="415" t="s">
        <v>19</v>
      </c>
      <c r="C11" s="35"/>
      <c r="D11" s="416"/>
      <c r="E11" s="416"/>
      <c r="F11" s="417"/>
      <c r="G11" s="418"/>
      <c r="H11" s="171"/>
      <c r="I11" s="419" t="s">
        <v>20</v>
      </c>
      <c r="J11" s="35"/>
      <c r="K11" s="420"/>
      <c r="L11" s="420"/>
      <c r="M11" s="420"/>
      <c r="N11" s="420">
        <f>N12</f>
        <v>70</v>
      </c>
      <c r="O11" s="420">
        <f t="shared" ref="O11:AH11" si="6">O12</f>
        <v>70</v>
      </c>
      <c r="P11" s="420">
        <f t="shared" si="6"/>
        <v>0</v>
      </c>
      <c r="Q11" s="420">
        <f t="shared" si="6"/>
        <v>0</v>
      </c>
      <c r="R11" s="420">
        <f t="shared" si="6"/>
        <v>0</v>
      </c>
      <c r="S11" s="420">
        <f t="shared" si="6"/>
        <v>0</v>
      </c>
      <c r="T11" s="420">
        <f t="shared" si="6"/>
        <v>0</v>
      </c>
      <c r="U11" s="420">
        <f t="shared" si="6"/>
        <v>0</v>
      </c>
      <c r="V11" s="420">
        <f t="shared" si="6"/>
        <v>0</v>
      </c>
      <c r="W11" s="420">
        <f t="shared" si="6"/>
        <v>0</v>
      </c>
      <c r="X11" s="420">
        <f>X12</f>
        <v>70</v>
      </c>
      <c r="Y11" s="420">
        <f t="shared" si="6"/>
        <v>70</v>
      </c>
      <c r="Z11" s="420">
        <f t="shared" si="6"/>
        <v>0</v>
      </c>
      <c r="AA11" s="420">
        <f t="shared" si="6"/>
        <v>0</v>
      </c>
      <c r="AB11" s="420">
        <f t="shared" si="6"/>
        <v>0</v>
      </c>
      <c r="AC11" s="420">
        <f>AC12</f>
        <v>70</v>
      </c>
      <c r="AD11" s="420">
        <f t="shared" si="6"/>
        <v>70</v>
      </c>
      <c r="AE11" s="420">
        <f t="shared" si="6"/>
        <v>0</v>
      </c>
      <c r="AF11" s="420">
        <f t="shared" si="6"/>
        <v>0</v>
      </c>
      <c r="AG11" s="420">
        <f t="shared" si="6"/>
        <v>0</v>
      </c>
      <c r="AH11" s="420">
        <f t="shared" si="6"/>
        <v>0</v>
      </c>
    </row>
    <row r="12" spans="1:34" s="21" customFormat="1" ht="31.5">
      <c r="A12" s="291">
        <v>1</v>
      </c>
      <c r="B12" s="172" t="s">
        <v>701</v>
      </c>
      <c r="C12" s="291" t="s">
        <v>47</v>
      </c>
      <c r="D12" s="291" t="s">
        <v>702</v>
      </c>
      <c r="E12" s="291" t="s">
        <v>63</v>
      </c>
      <c r="F12" s="38">
        <v>7925998</v>
      </c>
      <c r="G12" s="38">
        <v>161</v>
      </c>
      <c r="H12" s="421"/>
      <c r="I12" s="291"/>
      <c r="J12" s="291"/>
      <c r="K12" s="291"/>
      <c r="L12" s="422"/>
      <c r="M12" s="422"/>
      <c r="N12" s="423">
        <f>SUM(O12:R12)</f>
        <v>70</v>
      </c>
      <c r="O12" s="423">
        <v>70</v>
      </c>
      <c r="P12" s="422"/>
      <c r="Q12" s="422"/>
      <c r="R12" s="422"/>
      <c r="S12" s="422">
        <f>SUM(T12:W12)</f>
        <v>0</v>
      </c>
      <c r="T12" s="422">
        <v>0</v>
      </c>
      <c r="U12" s="422"/>
      <c r="V12" s="422"/>
      <c r="W12" s="422"/>
      <c r="X12" s="423">
        <f>SUM(Y12:AB12)</f>
        <v>70</v>
      </c>
      <c r="Y12" s="423">
        <v>70</v>
      </c>
      <c r="Z12" s="422"/>
      <c r="AA12" s="422"/>
      <c r="AB12" s="422"/>
      <c r="AC12" s="423">
        <f>SUM(AD12:AG12)</f>
        <v>70</v>
      </c>
      <c r="AD12" s="423">
        <v>70</v>
      </c>
      <c r="AE12" s="422"/>
      <c r="AF12" s="422"/>
      <c r="AG12" s="422"/>
      <c r="AH12" s="172"/>
    </row>
    <row r="13" spans="1:34">
      <c r="A13" s="424" t="s">
        <v>10</v>
      </c>
      <c r="B13" s="425" t="s">
        <v>21</v>
      </c>
      <c r="C13" s="43"/>
      <c r="D13" s="426"/>
      <c r="E13" s="426"/>
      <c r="F13" s="427"/>
      <c r="G13" s="428"/>
      <c r="H13" s="170"/>
      <c r="I13" s="429"/>
      <c r="J13" s="43"/>
      <c r="K13" s="430">
        <f t="shared" ref="K13:W13" si="7">K14+K16</f>
        <v>104175</v>
      </c>
      <c r="L13" s="430">
        <f t="shared" si="7"/>
        <v>0</v>
      </c>
      <c r="M13" s="430">
        <f t="shared" si="7"/>
        <v>0</v>
      </c>
      <c r="N13" s="430">
        <f t="shared" si="7"/>
        <v>870</v>
      </c>
      <c r="O13" s="430">
        <f t="shared" si="7"/>
        <v>870</v>
      </c>
      <c r="P13" s="431">
        <f t="shared" si="7"/>
        <v>0</v>
      </c>
      <c r="Q13" s="430">
        <f t="shared" si="7"/>
        <v>0</v>
      </c>
      <c r="R13" s="430">
        <f t="shared" si="7"/>
        <v>0</v>
      </c>
      <c r="S13" s="431">
        <f t="shared" si="7"/>
        <v>469.53697399999999</v>
      </c>
      <c r="T13" s="431">
        <f t="shared" si="7"/>
        <v>469.53697399999999</v>
      </c>
      <c r="U13" s="431">
        <f t="shared" si="7"/>
        <v>0</v>
      </c>
      <c r="V13" s="431">
        <f t="shared" si="7"/>
        <v>0</v>
      </c>
      <c r="W13" s="430">
        <f t="shared" si="7"/>
        <v>0</v>
      </c>
      <c r="X13" s="430">
        <f t="shared" ref="X13:AB13" si="8">X14+X16</f>
        <v>870</v>
      </c>
      <c r="Y13" s="430">
        <f t="shared" si="8"/>
        <v>870</v>
      </c>
      <c r="Z13" s="431">
        <f t="shared" si="8"/>
        <v>0</v>
      </c>
      <c r="AA13" s="430">
        <f t="shared" si="8"/>
        <v>0</v>
      </c>
      <c r="AB13" s="430">
        <f t="shared" si="8"/>
        <v>0</v>
      </c>
      <c r="AC13" s="430">
        <f t="shared" ref="AC13:AG13" si="9">AC14+AC16</f>
        <v>870</v>
      </c>
      <c r="AD13" s="430">
        <f t="shared" si="9"/>
        <v>870</v>
      </c>
      <c r="AE13" s="431">
        <f t="shared" si="9"/>
        <v>0</v>
      </c>
      <c r="AF13" s="430">
        <f t="shared" si="9"/>
        <v>0</v>
      </c>
      <c r="AG13" s="430">
        <f t="shared" si="9"/>
        <v>0</v>
      </c>
      <c r="AH13" s="432"/>
    </row>
    <row r="14" spans="1:34">
      <c r="A14" s="89"/>
      <c r="B14" s="90" t="s">
        <v>36</v>
      </c>
      <c r="C14" s="14"/>
      <c r="D14" s="18"/>
      <c r="E14" s="18"/>
      <c r="F14" s="24"/>
      <c r="G14" s="91"/>
      <c r="H14" s="3"/>
      <c r="I14" s="92"/>
      <c r="J14" s="14"/>
      <c r="K14" s="93">
        <f t="shared" ref="K14:AG14" si="10">+SUM(K15:K15)</f>
        <v>104175</v>
      </c>
      <c r="L14" s="93">
        <f t="shared" si="10"/>
        <v>0</v>
      </c>
      <c r="M14" s="93">
        <f t="shared" si="10"/>
        <v>0</v>
      </c>
      <c r="N14" s="93">
        <f t="shared" si="10"/>
        <v>170</v>
      </c>
      <c r="O14" s="93">
        <f t="shared" si="10"/>
        <v>170</v>
      </c>
      <c r="P14" s="189">
        <f t="shared" si="10"/>
        <v>0</v>
      </c>
      <c r="Q14" s="93">
        <f t="shared" si="10"/>
        <v>0</v>
      </c>
      <c r="R14" s="93">
        <f t="shared" si="10"/>
        <v>0</v>
      </c>
      <c r="S14" s="189">
        <f t="shared" si="10"/>
        <v>139.53697399999999</v>
      </c>
      <c r="T14" s="189">
        <f t="shared" si="10"/>
        <v>139.53697399999999</v>
      </c>
      <c r="U14" s="189">
        <f t="shared" si="10"/>
        <v>0</v>
      </c>
      <c r="V14" s="189">
        <f t="shared" si="10"/>
        <v>0</v>
      </c>
      <c r="W14" s="93">
        <f t="shared" si="10"/>
        <v>0</v>
      </c>
      <c r="X14" s="93">
        <f t="shared" si="10"/>
        <v>170</v>
      </c>
      <c r="Y14" s="93">
        <f t="shared" si="10"/>
        <v>170</v>
      </c>
      <c r="Z14" s="189">
        <f t="shared" si="10"/>
        <v>0</v>
      </c>
      <c r="AA14" s="93">
        <f t="shared" si="10"/>
        <v>0</v>
      </c>
      <c r="AB14" s="93">
        <f t="shared" si="10"/>
        <v>0</v>
      </c>
      <c r="AC14" s="93">
        <f t="shared" si="10"/>
        <v>170</v>
      </c>
      <c r="AD14" s="93">
        <f t="shared" si="10"/>
        <v>170</v>
      </c>
      <c r="AE14" s="189">
        <f t="shared" si="10"/>
        <v>0</v>
      </c>
      <c r="AF14" s="93">
        <f t="shared" si="10"/>
        <v>0</v>
      </c>
      <c r="AG14" s="93">
        <f t="shared" si="10"/>
        <v>0</v>
      </c>
      <c r="AH14" s="94"/>
    </row>
    <row r="15" spans="1:34" s="21" customFormat="1" ht="78.75" customHeight="1">
      <c r="A15" s="43">
        <v>1</v>
      </c>
      <c r="B15" s="170" t="s">
        <v>34</v>
      </c>
      <c r="C15" s="43" t="s">
        <v>47</v>
      </c>
      <c r="D15" s="43" t="s">
        <v>69</v>
      </c>
      <c r="E15" s="43" t="s">
        <v>63</v>
      </c>
      <c r="F15" s="36">
        <v>7873769</v>
      </c>
      <c r="G15" s="36">
        <v>292</v>
      </c>
      <c r="H15" s="43"/>
      <c r="I15" s="43"/>
      <c r="J15" s="43" t="s">
        <v>35</v>
      </c>
      <c r="K15" s="116">
        <v>104175</v>
      </c>
      <c r="L15" s="116"/>
      <c r="M15" s="116"/>
      <c r="N15" s="116">
        <f>SUM(O15:R15)</f>
        <v>170</v>
      </c>
      <c r="O15" s="199">
        <v>170</v>
      </c>
      <c r="P15" s="240"/>
      <c r="Q15" s="199"/>
      <c r="R15" s="116"/>
      <c r="S15" s="116">
        <f>SUM(T15:W15)</f>
        <v>139.53697399999999</v>
      </c>
      <c r="T15" s="199">
        <f>139536974/1000000</f>
        <v>139.53697399999999</v>
      </c>
      <c r="U15" s="240"/>
      <c r="V15" s="199"/>
      <c r="W15" s="116"/>
      <c r="X15" s="116">
        <f>SUM(Y15:AB15)</f>
        <v>170</v>
      </c>
      <c r="Y15" s="199">
        <v>170</v>
      </c>
      <c r="Z15" s="240"/>
      <c r="AA15" s="199"/>
      <c r="AB15" s="116"/>
      <c r="AC15" s="116">
        <f>SUM(AD15:AG15)</f>
        <v>170</v>
      </c>
      <c r="AD15" s="199">
        <v>170</v>
      </c>
      <c r="AE15" s="240"/>
      <c r="AF15" s="199"/>
      <c r="AG15" s="116"/>
      <c r="AH15" s="20"/>
    </row>
    <row r="16" spans="1:34">
      <c r="A16" s="89"/>
      <c r="B16" s="204" t="s">
        <v>166</v>
      </c>
      <c r="C16" s="14"/>
      <c r="D16" s="18"/>
      <c r="E16" s="18"/>
      <c r="F16" s="24"/>
      <c r="G16" s="91"/>
      <c r="H16" s="3"/>
      <c r="I16" s="92"/>
      <c r="J16" s="14"/>
      <c r="K16" s="93"/>
      <c r="L16" s="93"/>
      <c r="M16" s="93"/>
      <c r="N16" s="93">
        <f>N18</f>
        <v>700</v>
      </c>
      <c r="O16" s="93">
        <f t="shared" ref="O16:W16" si="11">O18</f>
        <v>700</v>
      </c>
      <c r="P16" s="93">
        <f t="shared" si="11"/>
        <v>0</v>
      </c>
      <c r="Q16" s="93">
        <f t="shared" si="11"/>
        <v>0</v>
      </c>
      <c r="R16" s="93">
        <f t="shared" si="11"/>
        <v>0</v>
      </c>
      <c r="S16" s="93">
        <f t="shared" si="11"/>
        <v>330</v>
      </c>
      <c r="T16" s="93">
        <f t="shared" si="11"/>
        <v>330</v>
      </c>
      <c r="U16" s="93">
        <f t="shared" si="11"/>
        <v>0</v>
      </c>
      <c r="V16" s="93">
        <f t="shared" si="11"/>
        <v>0</v>
      </c>
      <c r="W16" s="93">
        <f t="shared" si="11"/>
        <v>0</v>
      </c>
      <c r="X16" s="93">
        <f>X18</f>
        <v>700</v>
      </c>
      <c r="Y16" s="93">
        <f t="shared" ref="Y16:AB16" si="12">Y18</f>
        <v>700</v>
      </c>
      <c r="Z16" s="93">
        <f t="shared" si="12"/>
        <v>0</v>
      </c>
      <c r="AA16" s="93">
        <f t="shared" si="12"/>
        <v>0</v>
      </c>
      <c r="AB16" s="93">
        <f t="shared" si="12"/>
        <v>0</v>
      </c>
      <c r="AC16" s="93">
        <f>AC18</f>
        <v>700</v>
      </c>
      <c r="AD16" s="93">
        <f t="shared" ref="AD16:AG16" si="13">AD18</f>
        <v>700</v>
      </c>
      <c r="AE16" s="93">
        <f t="shared" si="13"/>
        <v>0</v>
      </c>
      <c r="AF16" s="93">
        <f t="shared" si="13"/>
        <v>0</v>
      </c>
      <c r="AG16" s="93">
        <f t="shared" si="13"/>
        <v>0</v>
      </c>
      <c r="AH16" s="94"/>
    </row>
    <row r="17" spans="1:34" hidden="1">
      <c r="A17" s="89"/>
      <c r="B17" s="90"/>
      <c r="C17" s="14"/>
      <c r="D17" s="18"/>
      <c r="E17" s="18"/>
      <c r="F17" s="24"/>
      <c r="G17" s="91"/>
      <c r="H17" s="3"/>
      <c r="I17" s="92"/>
      <c r="J17" s="14"/>
      <c r="K17" s="93"/>
      <c r="L17" s="93"/>
      <c r="M17" s="93"/>
      <c r="N17" s="93"/>
      <c r="O17" s="93"/>
      <c r="P17" s="189"/>
      <c r="Q17" s="93"/>
      <c r="R17" s="93"/>
      <c r="S17" s="189"/>
      <c r="T17" s="189"/>
      <c r="U17" s="189"/>
      <c r="V17" s="189"/>
      <c r="W17" s="93"/>
      <c r="X17" s="93"/>
      <c r="Y17" s="93"/>
      <c r="Z17" s="189"/>
      <c r="AA17" s="93"/>
      <c r="AB17" s="93"/>
      <c r="AC17" s="93"/>
      <c r="AD17" s="93"/>
      <c r="AE17" s="189"/>
      <c r="AF17" s="93"/>
      <c r="AG17" s="93"/>
      <c r="AH17" s="94"/>
    </row>
    <row r="18" spans="1:34" s="21" customFormat="1" ht="31.5">
      <c r="A18" s="291">
        <v>1</v>
      </c>
      <c r="B18" s="172" t="s">
        <v>701</v>
      </c>
      <c r="C18" s="291" t="s">
        <v>47</v>
      </c>
      <c r="D18" s="291" t="s">
        <v>702</v>
      </c>
      <c r="E18" s="291" t="s">
        <v>63</v>
      </c>
      <c r="F18" s="38">
        <v>7925998</v>
      </c>
      <c r="G18" s="38">
        <v>161</v>
      </c>
      <c r="H18" s="421"/>
      <c r="I18" s="291"/>
      <c r="J18" s="291"/>
      <c r="K18" s="291"/>
      <c r="L18" s="422"/>
      <c r="M18" s="422"/>
      <c r="N18" s="423">
        <f>SUM(O18:R18)</f>
        <v>700</v>
      </c>
      <c r="O18" s="423">
        <v>700</v>
      </c>
      <c r="P18" s="422"/>
      <c r="Q18" s="422"/>
      <c r="R18" s="422"/>
      <c r="S18" s="422">
        <f>SUM(T18:W18)</f>
        <v>330</v>
      </c>
      <c r="T18" s="422">
        <v>330</v>
      </c>
      <c r="U18" s="422"/>
      <c r="V18" s="422"/>
      <c r="W18" s="422"/>
      <c r="X18" s="423">
        <f>SUM(Y18:AB18)</f>
        <v>700</v>
      </c>
      <c r="Y18" s="423">
        <v>700</v>
      </c>
      <c r="Z18" s="422"/>
      <c r="AA18" s="422"/>
      <c r="AB18" s="422"/>
      <c r="AC18" s="423">
        <f>SUM(AD18:AG18)</f>
        <v>700</v>
      </c>
      <c r="AD18" s="423">
        <v>700</v>
      </c>
      <c r="AE18" s="422"/>
      <c r="AF18" s="422"/>
      <c r="AG18" s="422"/>
      <c r="AH18" s="172"/>
    </row>
    <row r="19" spans="1:34">
      <c r="A19" s="89" t="s">
        <v>22</v>
      </c>
      <c r="B19" s="90" t="s">
        <v>39</v>
      </c>
      <c r="C19" s="14"/>
      <c r="D19" s="18"/>
      <c r="E19" s="18"/>
      <c r="F19" s="24"/>
      <c r="G19" s="91"/>
      <c r="H19" s="3"/>
      <c r="I19" s="92"/>
      <c r="J19" s="14"/>
      <c r="K19" s="93">
        <f t="shared" ref="K19:AG19" si="14">K20+K188+K363</f>
        <v>814540.80700000003</v>
      </c>
      <c r="L19" s="93">
        <f t="shared" si="14"/>
        <v>26552.245777</v>
      </c>
      <c r="M19" s="93">
        <f t="shared" si="14"/>
        <v>0</v>
      </c>
      <c r="N19" s="93">
        <f t="shared" si="14"/>
        <v>235790.34599999999</v>
      </c>
      <c r="O19" s="93">
        <f t="shared" si="14"/>
        <v>10620</v>
      </c>
      <c r="P19" s="93">
        <f t="shared" si="14"/>
        <v>57000.255999999994</v>
      </c>
      <c r="Q19" s="93">
        <f t="shared" si="14"/>
        <v>136825</v>
      </c>
      <c r="R19" s="93">
        <f t="shared" si="14"/>
        <v>31345.09</v>
      </c>
      <c r="S19" s="93">
        <f t="shared" si="14"/>
        <v>204284.37599999999</v>
      </c>
      <c r="T19" s="93">
        <f t="shared" si="14"/>
        <v>9598.9759999999987</v>
      </c>
      <c r="U19" s="93">
        <f t="shared" si="14"/>
        <v>46853.0245</v>
      </c>
      <c r="V19" s="93">
        <f t="shared" si="14"/>
        <v>116487.2855</v>
      </c>
      <c r="W19" s="93">
        <f t="shared" si="14"/>
        <v>31345.09</v>
      </c>
      <c r="X19" s="93">
        <f t="shared" si="14"/>
        <v>235790.34599999999</v>
      </c>
      <c r="Y19" s="93">
        <f t="shared" si="14"/>
        <v>10620</v>
      </c>
      <c r="Z19" s="93">
        <f t="shared" si="14"/>
        <v>57000.255999999994</v>
      </c>
      <c r="AA19" s="93">
        <f t="shared" si="14"/>
        <v>136825</v>
      </c>
      <c r="AB19" s="93">
        <f t="shared" si="14"/>
        <v>31345.09</v>
      </c>
      <c r="AC19" s="93">
        <f t="shared" si="14"/>
        <v>235790.34599999999</v>
      </c>
      <c r="AD19" s="93">
        <f t="shared" si="14"/>
        <v>10620</v>
      </c>
      <c r="AE19" s="93">
        <f t="shared" si="14"/>
        <v>57000.255999999994</v>
      </c>
      <c r="AF19" s="93">
        <f t="shared" si="14"/>
        <v>136825</v>
      </c>
      <c r="AG19" s="93">
        <f t="shared" si="14"/>
        <v>31345.09</v>
      </c>
      <c r="AH19" s="398"/>
    </row>
    <row r="20" spans="1:34">
      <c r="A20" s="89" t="s">
        <v>9</v>
      </c>
      <c r="B20" s="90" t="s">
        <v>23</v>
      </c>
      <c r="C20" s="14"/>
      <c r="D20" s="18"/>
      <c r="E20" s="18"/>
      <c r="F20" s="24"/>
      <c r="G20" s="91"/>
      <c r="H20" s="3"/>
      <c r="I20" s="92"/>
      <c r="J20" s="14"/>
      <c r="K20" s="93">
        <f t="shared" ref="K20:W20" si="15">K21+K87+K97+K103+K177</f>
        <v>343605.30600000004</v>
      </c>
      <c r="L20" s="93">
        <f t="shared" si="15"/>
        <v>15977.882130000002</v>
      </c>
      <c r="M20" s="93">
        <f t="shared" si="15"/>
        <v>0</v>
      </c>
      <c r="N20" s="93">
        <f t="shared" si="15"/>
        <v>136825</v>
      </c>
      <c r="O20" s="93">
        <f t="shared" si="15"/>
        <v>0</v>
      </c>
      <c r="P20" s="189">
        <f t="shared" si="15"/>
        <v>0</v>
      </c>
      <c r="Q20" s="93">
        <f t="shared" si="15"/>
        <v>136825</v>
      </c>
      <c r="R20" s="93">
        <f t="shared" si="15"/>
        <v>0</v>
      </c>
      <c r="S20" s="93">
        <f t="shared" si="15"/>
        <v>116487.2855</v>
      </c>
      <c r="T20" s="93">
        <f t="shared" si="15"/>
        <v>0</v>
      </c>
      <c r="U20" s="93">
        <f t="shared" si="15"/>
        <v>0</v>
      </c>
      <c r="V20" s="93">
        <f t="shared" si="15"/>
        <v>116487.2855</v>
      </c>
      <c r="W20" s="93">
        <f t="shared" si="15"/>
        <v>0</v>
      </c>
      <c r="X20" s="93">
        <f t="shared" ref="X20:AB20" si="16">X21+X87+X97+X103+X177</f>
        <v>136825</v>
      </c>
      <c r="Y20" s="93">
        <f t="shared" si="16"/>
        <v>0</v>
      </c>
      <c r="Z20" s="189">
        <f t="shared" si="16"/>
        <v>0</v>
      </c>
      <c r="AA20" s="93">
        <f t="shared" si="16"/>
        <v>136825</v>
      </c>
      <c r="AB20" s="93">
        <f t="shared" si="16"/>
        <v>0</v>
      </c>
      <c r="AC20" s="93">
        <f t="shared" ref="AC20:AG20" si="17">AC21+AC87+AC97+AC103+AC177</f>
        <v>136825</v>
      </c>
      <c r="AD20" s="93">
        <f t="shared" si="17"/>
        <v>0</v>
      </c>
      <c r="AE20" s="189">
        <f t="shared" si="17"/>
        <v>0</v>
      </c>
      <c r="AF20" s="93">
        <f t="shared" si="17"/>
        <v>136825</v>
      </c>
      <c r="AG20" s="93">
        <f t="shared" si="17"/>
        <v>0</v>
      </c>
      <c r="AH20" s="94"/>
    </row>
    <row r="21" spans="1:34">
      <c r="A21" s="89">
        <v>1</v>
      </c>
      <c r="B21" s="90" t="s">
        <v>27</v>
      </c>
      <c r="C21" s="14"/>
      <c r="D21" s="18"/>
      <c r="E21" s="18"/>
      <c r="F21" s="24"/>
      <c r="G21" s="91"/>
      <c r="H21" s="3"/>
      <c r="I21" s="92"/>
      <c r="J21" s="14"/>
      <c r="K21" s="93">
        <f t="shared" ref="K21:W21" si="18">K23+K73+K85</f>
        <v>195510.96799999999</v>
      </c>
      <c r="L21" s="93">
        <f t="shared" si="18"/>
        <v>7217.4417899999999</v>
      </c>
      <c r="M21" s="93">
        <f t="shared" si="18"/>
        <v>0</v>
      </c>
      <c r="N21" s="93">
        <f t="shared" si="18"/>
        <v>70790</v>
      </c>
      <c r="O21" s="93">
        <f t="shared" si="18"/>
        <v>0</v>
      </c>
      <c r="P21" s="189">
        <f t="shared" si="18"/>
        <v>0</v>
      </c>
      <c r="Q21" s="93">
        <f t="shared" si="18"/>
        <v>70790</v>
      </c>
      <c r="R21" s="93">
        <f t="shared" si="18"/>
        <v>0</v>
      </c>
      <c r="S21" s="93">
        <f t="shared" si="18"/>
        <v>61862.355499999998</v>
      </c>
      <c r="T21" s="93">
        <f t="shared" si="18"/>
        <v>0</v>
      </c>
      <c r="U21" s="93">
        <f t="shared" si="18"/>
        <v>0</v>
      </c>
      <c r="V21" s="93">
        <f t="shared" si="18"/>
        <v>61862.355499999998</v>
      </c>
      <c r="W21" s="93">
        <f t="shared" si="18"/>
        <v>0</v>
      </c>
      <c r="X21" s="93">
        <f t="shared" ref="X21:AB21" si="19">X23+X73+X85</f>
        <v>70790</v>
      </c>
      <c r="Y21" s="93">
        <f t="shared" si="19"/>
        <v>0</v>
      </c>
      <c r="Z21" s="189">
        <f t="shared" si="19"/>
        <v>0</v>
      </c>
      <c r="AA21" s="93">
        <f t="shared" si="19"/>
        <v>70790</v>
      </c>
      <c r="AB21" s="93">
        <f t="shared" si="19"/>
        <v>0</v>
      </c>
      <c r="AC21" s="93">
        <f t="shared" ref="AC21:AG21" si="20">AC23+AC73+AC85</f>
        <v>70790</v>
      </c>
      <c r="AD21" s="93">
        <f t="shared" si="20"/>
        <v>0</v>
      </c>
      <c r="AE21" s="189">
        <f t="shared" si="20"/>
        <v>0</v>
      </c>
      <c r="AF21" s="93">
        <f t="shared" si="20"/>
        <v>70790</v>
      </c>
      <c r="AG21" s="93">
        <f t="shared" si="20"/>
        <v>0</v>
      </c>
      <c r="AH21" s="94"/>
    </row>
    <row r="22" spans="1:34">
      <c r="A22" s="89"/>
      <c r="B22" s="90" t="s">
        <v>11</v>
      </c>
      <c r="C22" s="14"/>
      <c r="D22" s="18"/>
      <c r="E22" s="18"/>
      <c r="F22" s="24"/>
      <c r="G22" s="91"/>
      <c r="H22" s="3"/>
      <c r="I22" s="92"/>
      <c r="J22" s="14"/>
      <c r="K22" s="93"/>
      <c r="L22" s="93"/>
      <c r="M22" s="93"/>
      <c r="N22" s="93"/>
      <c r="O22" s="93"/>
      <c r="P22" s="189"/>
      <c r="Q22" s="189"/>
      <c r="R22" s="93"/>
      <c r="S22" s="189"/>
      <c r="T22" s="189"/>
      <c r="U22" s="189"/>
      <c r="V22" s="189"/>
      <c r="W22" s="93"/>
      <c r="X22" s="93"/>
      <c r="Y22" s="93"/>
      <c r="Z22" s="189"/>
      <c r="AA22" s="189"/>
      <c r="AB22" s="93"/>
      <c r="AC22" s="93"/>
      <c r="AD22" s="93"/>
      <c r="AE22" s="189"/>
      <c r="AF22" s="189"/>
      <c r="AG22" s="93"/>
      <c r="AH22" s="94"/>
    </row>
    <row r="23" spans="1:34" ht="31.5">
      <c r="A23" s="89" t="s">
        <v>24</v>
      </c>
      <c r="B23" s="90" t="s">
        <v>28</v>
      </c>
      <c r="C23" s="14"/>
      <c r="D23" s="18"/>
      <c r="E23" s="18"/>
      <c r="F23" s="24"/>
      <c r="G23" s="91"/>
      <c r="H23" s="3"/>
      <c r="I23" s="92"/>
      <c r="J23" s="14"/>
      <c r="K23" s="93">
        <f t="shared" ref="K23:W23" si="21">K24+K42</f>
        <v>160430.96799999999</v>
      </c>
      <c r="L23" s="93">
        <f t="shared" si="21"/>
        <v>5811.4417899999999</v>
      </c>
      <c r="M23" s="93">
        <f t="shared" si="21"/>
        <v>0</v>
      </c>
      <c r="N23" s="93">
        <f t="shared" si="21"/>
        <v>63511.756000000001</v>
      </c>
      <c r="O23" s="93">
        <f t="shared" si="21"/>
        <v>0</v>
      </c>
      <c r="P23" s="189">
        <f t="shared" si="21"/>
        <v>0</v>
      </c>
      <c r="Q23" s="93">
        <f t="shared" si="21"/>
        <v>63511.756000000001</v>
      </c>
      <c r="R23" s="93">
        <f t="shared" si="21"/>
        <v>0</v>
      </c>
      <c r="S23" s="93">
        <f t="shared" si="21"/>
        <v>54584.111499999999</v>
      </c>
      <c r="T23" s="93">
        <f t="shared" si="21"/>
        <v>0</v>
      </c>
      <c r="U23" s="93">
        <f t="shared" si="21"/>
        <v>0</v>
      </c>
      <c r="V23" s="93">
        <f t="shared" si="21"/>
        <v>54584.111499999999</v>
      </c>
      <c r="W23" s="93">
        <f t="shared" si="21"/>
        <v>0</v>
      </c>
      <c r="X23" s="93">
        <f t="shared" ref="X23:AB23" si="22">X24+X42</f>
        <v>63511.756000000001</v>
      </c>
      <c r="Y23" s="93">
        <f t="shared" si="22"/>
        <v>0</v>
      </c>
      <c r="Z23" s="189">
        <f t="shared" si="22"/>
        <v>0</v>
      </c>
      <c r="AA23" s="93">
        <f t="shared" si="22"/>
        <v>63511.756000000001</v>
      </c>
      <c r="AB23" s="93">
        <f t="shared" si="22"/>
        <v>0</v>
      </c>
      <c r="AC23" s="93">
        <f t="shared" ref="AC23:AG23" si="23">AC24+AC42</f>
        <v>63511.756000000001</v>
      </c>
      <c r="AD23" s="93">
        <f t="shared" si="23"/>
        <v>0</v>
      </c>
      <c r="AE23" s="189">
        <f t="shared" si="23"/>
        <v>0</v>
      </c>
      <c r="AF23" s="93">
        <f t="shared" si="23"/>
        <v>63511.756000000001</v>
      </c>
      <c r="AG23" s="93">
        <f t="shared" si="23"/>
        <v>0</v>
      </c>
      <c r="AH23" s="94"/>
    </row>
    <row r="24" spans="1:34">
      <c r="A24" s="89"/>
      <c r="B24" s="90" t="s">
        <v>36</v>
      </c>
      <c r="C24" s="14"/>
      <c r="D24" s="18"/>
      <c r="E24" s="18"/>
      <c r="F24" s="24"/>
      <c r="G24" s="91"/>
      <c r="H24" s="3"/>
      <c r="I24" s="92"/>
      <c r="J24" s="14"/>
      <c r="K24" s="93">
        <f t="shared" ref="K24:W24" si="24">K25+K36+K40</f>
        <v>72067.66</v>
      </c>
      <c r="L24" s="93">
        <f t="shared" si="24"/>
        <v>1165.4417900000001</v>
      </c>
      <c r="M24" s="93">
        <f t="shared" si="24"/>
        <v>0</v>
      </c>
      <c r="N24" s="93">
        <f t="shared" si="24"/>
        <v>7200.19</v>
      </c>
      <c r="O24" s="93">
        <f t="shared" si="24"/>
        <v>0</v>
      </c>
      <c r="P24" s="93">
        <f t="shared" si="24"/>
        <v>0</v>
      </c>
      <c r="Q24" s="93">
        <f t="shared" si="24"/>
        <v>7200.19</v>
      </c>
      <c r="R24" s="93">
        <f t="shared" si="24"/>
        <v>0</v>
      </c>
      <c r="S24" s="93">
        <f t="shared" si="24"/>
        <v>6938.2969999999996</v>
      </c>
      <c r="T24" s="93">
        <f t="shared" si="24"/>
        <v>0</v>
      </c>
      <c r="U24" s="93">
        <f t="shared" si="24"/>
        <v>0</v>
      </c>
      <c r="V24" s="93">
        <f t="shared" si="24"/>
        <v>6938.2969999999996</v>
      </c>
      <c r="W24" s="93">
        <f t="shared" si="24"/>
        <v>0</v>
      </c>
      <c r="X24" s="93">
        <f t="shared" ref="X24:AB24" si="25">X25+X36+X40</f>
        <v>7200.19</v>
      </c>
      <c r="Y24" s="93">
        <f t="shared" si="25"/>
        <v>0</v>
      </c>
      <c r="Z24" s="93">
        <f t="shared" si="25"/>
        <v>0</v>
      </c>
      <c r="AA24" s="93">
        <f t="shared" si="25"/>
        <v>7200.19</v>
      </c>
      <c r="AB24" s="93">
        <f t="shared" si="25"/>
        <v>0</v>
      </c>
      <c r="AC24" s="93">
        <f t="shared" ref="AC24:AG24" si="26">AC25+AC36+AC40</f>
        <v>7200.19</v>
      </c>
      <c r="AD24" s="93">
        <f t="shared" si="26"/>
        <v>0</v>
      </c>
      <c r="AE24" s="93">
        <f t="shared" si="26"/>
        <v>0</v>
      </c>
      <c r="AF24" s="93">
        <f t="shared" si="26"/>
        <v>7200.19</v>
      </c>
      <c r="AG24" s="93">
        <f t="shared" si="26"/>
        <v>0</v>
      </c>
      <c r="AH24" s="94"/>
    </row>
    <row r="25" spans="1:34">
      <c r="A25" s="89"/>
      <c r="B25" s="90" t="s">
        <v>91</v>
      </c>
      <c r="C25" s="14"/>
      <c r="D25" s="18"/>
      <c r="E25" s="18"/>
      <c r="F25" s="24"/>
      <c r="G25" s="91"/>
      <c r="H25" s="3"/>
      <c r="I25" s="92"/>
      <c r="J25" s="14"/>
      <c r="K25" s="93">
        <f>SUM(K26:K35)</f>
        <v>43327.659999999996</v>
      </c>
      <c r="L25" s="93">
        <f t="shared" ref="L25:W25" si="27">SUM(L26:L35)</f>
        <v>1165.4417900000001</v>
      </c>
      <c r="M25" s="93">
        <f t="shared" si="27"/>
        <v>0</v>
      </c>
      <c r="N25" s="93">
        <f t="shared" si="27"/>
        <v>6239.3739999999998</v>
      </c>
      <c r="O25" s="93">
        <f t="shared" si="27"/>
        <v>0</v>
      </c>
      <c r="P25" s="93">
        <f t="shared" si="27"/>
        <v>0</v>
      </c>
      <c r="Q25" s="93">
        <f t="shared" si="27"/>
        <v>6239.3739999999998</v>
      </c>
      <c r="R25" s="93">
        <f t="shared" si="27"/>
        <v>0</v>
      </c>
      <c r="S25" s="93">
        <f t="shared" si="27"/>
        <v>5977.4809999999998</v>
      </c>
      <c r="T25" s="93">
        <f t="shared" si="27"/>
        <v>0</v>
      </c>
      <c r="U25" s="93">
        <f t="shared" si="27"/>
        <v>0</v>
      </c>
      <c r="V25" s="93">
        <f t="shared" si="27"/>
        <v>5977.4809999999998</v>
      </c>
      <c r="W25" s="93">
        <f t="shared" si="27"/>
        <v>0</v>
      </c>
      <c r="X25" s="93">
        <f t="shared" ref="X25" si="28">SUM(X26:X35)</f>
        <v>6239.3739999999998</v>
      </c>
      <c r="Y25" s="93">
        <f t="shared" ref="Y25" si="29">SUM(Y26:Y35)</f>
        <v>0</v>
      </c>
      <c r="Z25" s="93">
        <f t="shared" ref="Z25" si="30">SUM(Z26:Z35)</f>
        <v>0</v>
      </c>
      <c r="AA25" s="93">
        <f t="shared" ref="AA25" si="31">SUM(AA26:AA35)</f>
        <v>6239.3739999999998</v>
      </c>
      <c r="AB25" s="93">
        <f t="shared" ref="AB25" si="32">SUM(AB26:AB35)</f>
        <v>0</v>
      </c>
      <c r="AC25" s="93">
        <f t="shared" ref="AC25" si="33">SUM(AC26:AC35)</f>
        <v>6239.3739999999998</v>
      </c>
      <c r="AD25" s="93">
        <f t="shared" ref="AD25" si="34">SUM(AD26:AD35)</f>
        <v>0</v>
      </c>
      <c r="AE25" s="93">
        <f t="shared" ref="AE25" si="35">SUM(AE26:AE35)</f>
        <v>0</v>
      </c>
      <c r="AF25" s="93">
        <f t="shared" ref="AF25" si="36">SUM(AF26:AF35)</f>
        <v>6239.3739999999998</v>
      </c>
      <c r="AG25" s="93">
        <f t="shared" ref="AG25" si="37">SUM(AG26:AG35)</f>
        <v>0</v>
      </c>
      <c r="AH25" s="94"/>
    </row>
    <row r="26" spans="1:34" s="21" customFormat="1" ht="58.5" customHeight="1">
      <c r="A26" s="631">
        <v>1</v>
      </c>
      <c r="B26" s="433" t="s">
        <v>45</v>
      </c>
      <c r="C26" s="434" t="s">
        <v>61</v>
      </c>
      <c r="D26" s="172" t="s">
        <v>93</v>
      </c>
      <c r="E26" s="111" t="s">
        <v>42</v>
      </c>
      <c r="F26" s="434">
        <v>7922608</v>
      </c>
      <c r="G26" s="435">
        <v>292</v>
      </c>
      <c r="H26" s="436" t="s">
        <v>51</v>
      </c>
      <c r="I26" s="437" t="s">
        <v>48</v>
      </c>
      <c r="J26" s="438" t="s">
        <v>96</v>
      </c>
      <c r="K26" s="439">
        <v>3367</v>
      </c>
      <c r="L26" s="434"/>
      <c r="M26" s="434"/>
      <c r="N26" s="632">
        <f>SUM(O26:R26)</f>
        <v>200</v>
      </c>
      <c r="O26" s="632"/>
      <c r="P26" s="632"/>
      <c r="Q26" s="632">
        <v>200</v>
      </c>
      <c r="R26" s="632"/>
      <c r="S26" s="632">
        <f>SUM(T26:W26)</f>
        <v>200</v>
      </c>
      <c r="T26" s="632"/>
      <c r="U26" s="632"/>
      <c r="V26" s="632">
        <f>200000000/1000000</f>
        <v>200</v>
      </c>
      <c r="W26" s="434"/>
      <c r="X26" s="632">
        <f>SUM(Y26:AB26)</f>
        <v>200</v>
      </c>
      <c r="Y26" s="632"/>
      <c r="Z26" s="632"/>
      <c r="AA26" s="632">
        <v>200</v>
      </c>
      <c r="AB26" s="632"/>
      <c r="AC26" s="632">
        <f>SUM(AD26:AG26)</f>
        <v>200</v>
      </c>
      <c r="AD26" s="632"/>
      <c r="AE26" s="632"/>
      <c r="AF26" s="632">
        <v>200</v>
      </c>
      <c r="AG26" s="632"/>
      <c r="AH26" s="20"/>
    </row>
    <row r="27" spans="1:34" s="21" customFormat="1" ht="58.5" customHeight="1">
      <c r="A27" s="633">
        <v>2</v>
      </c>
      <c r="B27" s="440" t="s">
        <v>44</v>
      </c>
      <c r="C27" s="441" t="s">
        <v>61</v>
      </c>
      <c r="D27" s="172" t="s">
        <v>93</v>
      </c>
      <c r="E27" s="111" t="s">
        <v>42</v>
      </c>
      <c r="F27" s="441">
        <v>7922603</v>
      </c>
      <c r="G27" s="442">
        <v>292</v>
      </c>
      <c r="H27" s="443" t="s">
        <v>50</v>
      </c>
      <c r="I27" s="444" t="s">
        <v>48</v>
      </c>
      <c r="J27" s="445" t="s">
        <v>95</v>
      </c>
      <c r="K27" s="446">
        <v>6256</v>
      </c>
      <c r="L27" s="441"/>
      <c r="M27" s="441"/>
      <c r="N27" s="370">
        <f t="shared" ref="N27:N31" si="38">SUM(O27:R27)</f>
        <v>250</v>
      </c>
      <c r="O27" s="370"/>
      <c r="P27" s="370"/>
      <c r="Q27" s="370">
        <v>250</v>
      </c>
      <c r="R27" s="370"/>
      <c r="S27" s="370">
        <f t="shared" ref="S27:S35" si="39">SUM(T27:W27)</f>
        <v>250</v>
      </c>
      <c r="T27" s="370"/>
      <c r="U27" s="370"/>
      <c r="V27" s="370">
        <v>250</v>
      </c>
      <c r="W27" s="441"/>
      <c r="X27" s="370">
        <f t="shared" ref="X27:X31" si="40">SUM(Y27:AB27)</f>
        <v>250</v>
      </c>
      <c r="Y27" s="370"/>
      <c r="Z27" s="370"/>
      <c r="AA27" s="370">
        <v>250</v>
      </c>
      <c r="AB27" s="370"/>
      <c r="AC27" s="370">
        <f t="shared" ref="AC27:AC31" si="41">SUM(AD27:AG27)</f>
        <v>250</v>
      </c>
      <c r="AD27" s="370"/>
      <c r="AE27" s="370"/>
      <c r="AF27" s="370">
        <v>250</v>
      </c>
      <c r="AG27" s="370"/>
      <c r="AH27" s="20"/>
    </row>
    <row r="28" spans="1:34" s="21" customFormat="1" ht="58.5" customHeight="1">
      <c r="A28" s="633">
        <v>3</v>
      </c>
      <c r="B28" s="440" t="s">
        <v>43</v>
      </c>
      <c r="C28" s="441" t="s">
        <v>61</v>
      </c>
      <c r="D28" s="172" t="s">
        <v>93</v>
      </c>
      <c r="E28" s="111" t="s">
        <v>42</v>
      </c>
      <c r="F28" s="441">
        <v>7922605</v>
      </c>
      <c r="G28" s="442">
        <v>292</v>
      </c>
      <c r="H28" s="443" t="s">
        <v>161</v>
      </c>
      <c r="I28" s="444" t="s">
        <v>48</v>
      </c>
      <c r="J28" s="445" t="s">
        <v>159</v>
      </c>
      <c r="K28" s="446">
        <v>2873</v>
      </c>
      <c r="L28" s="441"/>
      <c r="M28" s="441"/>
      <c r="N28" s="370">
        <f t="shared" si="38"/>
        <v>197.50800000000001</v>
      </c>
      <c r="O28" s="370"/>
      <c r="P28" s="370"/>
      <c r="Q28" s="370">
        <f>197508000/1000000</f>
        <v>197.50800000000001</v>
      </c>
      <c r="R28" s="370"/>
      <c r="S28" s="370">
        <f t="shared" si="39"/>
        <v>197.50800000000001</v>
      </c>
      <c r="T28" s="370"/>
      <c r="U28" s="370"/>
      <c r="V28" s="370">
        <f>197508000/1000000</f>
        <v>197.50800000000001</v>
      </c>
      <c r="W28" s="441"/>
      <c r="X28" s="370">
        <f t="shared" si="40"/>
        <v>197.50800000000001</v>
      </c>
      <c r="Y28" s="370"/>
      <c r="Z28" s="370"/>
      <c r="AA28" s="370">
        <f>197508000/1000000</f>
        <v>197.50800000000001</v>
      </c>
      <c r="AB28" s="370"/>
      <c r="AC28" s="370">
        <f t="shared" si="41"/>
        <v>197.50800000000001</v>
      </c>
      <c r="AD28" s="370"/>
      <c r="AE28" s="370"/>
      <c r="AF28" s="370">
        <f>197508000/1000000</f>
        <v>197.50800000000001</v>
      </c>
      <c r="AG28" s="370"/>
      <c r="AH28" s="20"/>
    </row>
    <row r="29" spans="1:34" s="182" customFormat="1" ht="58.5" customHeight="1">
      <c r="A29" s="634">
        <v>4</v>
      </c>
      <c r="B29" s="447" t="s">
        <v>46</v>
      </c>
      <c r="C29" s="146" t="s">
        <v>61</v>
      </c>
      <c r="D29" s="568" t="s">
        <v>102</v>
      </c>
      <c r="E29" s="298" t="s">
        <v>42</v>
      </c>
      <c r="F29" s="146">
        <v>8012055</v>
      </c>
      <c r="G29" s="589">
        <v>292</v>
      </c>
      <c r="H29" s="138" t="s">
        <v>120</v>
      </c>
      <c r="I29" s="163" t="s">
        <v>80</v>
      </c>
      <c r="J29" s="142" t="s">
        <v>123</v>
      </c>
      <c r="K29" s="590">
        <v>6052</v>
      </c>
      <c r="L29" s="146"/>
      <c r="M29" s="146"/>
      <c r="N29" s="370">
        <f t="shared" si="38"/>
        <v>0</v>
      </c>
      <c r="O29" s="370"/>
      <c r="P29" s="370"/>
      <c r="Q29" s="370">
        <v>0</v>
      </c>
      <c r="R29" s="370"/>
      <c r="S29" s="370">
        <f t="shared" si="39"/>
        <v>0</v>
      </c>
      <c r="T29" s="370"/>
      <c r="U29" s="370"/>
      <c r="V29" s="370"/>
      <c r="W29" s="146"/>
      <c r="X29" s="370">
        <f t="shared" si="40"/>
        <v>0</v>
      </c>
      <c r="Y29" s="370"/>
      <c r="Z29" s="370"/>
      <c r="AA29" s="370">
        <v>0</v>
      </c>
      <c r="AB29" s="370"/>
      <c r="AC29" s="370">
        <f t="shared" si="41"/>
        <v>0</v>
      </c>
      <c r="AD29" s="370"/>
      <c r="AE29" s="370"/>
      <c r="AF29" s="370">
        <v>0</v>
      </c>
      <c r="AG29" s="370"/>
      <c r="AH29" s="181"/>
    </row>
    <row r="30" spans="1:34" s="182" customFormat="1" ht="58.5" customHeight="1">
      <c r="A30" s="634">
        <v>5</v>
      </c>
      <c r="B30" s="447" t="s">
        <v>118</v>
      </c>
      <c r="C30" s="146" t="s">
        <v>61</v>
      </c>
      <c r="D30" s="568" t="s">
        <v>102</v>
      </c>
      <c r="E30" s="298" t="s">
        <v>42</v>
      </c>
      <c r="F30" s="146">
        <v>8012054</v>
      </c>
      <c r="G30" s="589">
        <v>292</v>
      </c>
      <c r="H30" s="138" t="s">
        <v>121</v>
      </c>
      <c r="I30" s="163" t="s">
        <v>80</v>
      </c>
      <c r="J30" s="142" t="s">
        <v>124</v>
      </c>
      <c r="K30" s="590">
        <v>6363</v>
      </c>
      <c r="L30" s="146"/>
      <c r="M30" s="146"/>
      <c r="N30" s="370">
        <f t="shared" si="38"/>
        <v>125.036</v>
      </c>
      <c r="O30" s="370"/>
      <c r="P30" s="370"/>
      <c r="Q30" s="370">
        <f>125036000/1000000</f>
        <v>125.036</v>
      </c>
      <c r="R30" s="370"/>
      <c r="S30" s="370">
        <f t="shared" si="39"/>
        <v>125.036</v>
      </c>
      <c r="T30" s="370"/>
      <c r="U30" s="370"/>
      <c r="V30" s="370">
        <f>125036000/1000000</f>
        <v>125.036</v>
      </c>
      <c r="W30" s="146"/>
      <c r="X30" s="370">
        <f t="shared" si="40"/>
        <v>125.036</v>
      </c>
      <c r="Y30" s="370"/>
      <c r="Z30" s="370"/>
      <c r="AA30" s="370">
        <f>125036000/1000000</f>
        <v>125.036</v>
      </c>
      <c r="AB30" s="370"/>
      <c r="AC30" s="370">
        <f t="shared" si="41"/>
        <v>125.036</v>
      </c>
      <c r="AD30" s="370"/>
      <c r="AE30" s="370"/>
      <c r="AF30" s="370">
        <f>125036000/1000000</f>
        <v>125.036</v>
      </c>
      <c r="AG30" s="370"/>
      <c r="AH30" s="181"/>
    </row>
    <row r="31" spans="1:34" s="182" customFormat="1" ht="58.5" customHeight="1">
      <c r="A31" s="633">
        <v>6</v>
      </c>
      <c r="B31" s="440" t="s">
        <v>158</v>
      </c>
      <c r="C31" s="146" t="s">
        <v>61</v>
      </c>
      <c r="D31" s="568" t="s">
        <v>213</v>
      </c>
      <c r="E31" s="298" t="s">
        <v>42</v>
      </c>
      <c r="F31" s="146">
        <v>8012051</v>
      </c>
      <c r="G31" s="589">
        <v>292</v>
      </c>
      <c r="H31" s="144" t="s">
        <v>221</v>
      </c>
      <c r="I31" s="163" t="s">
        <v>80</v>
      </c>
      <c r="J31" s="138" t="s">
        <v>244</v>
      </c>
      <c r="K31" s="590">
        <v>11198.009</v>
      </c>
      <c r="L31" s="590">
        <v>901.93603500000006</v>
      </c>
      <c r="M31" s="590"/>
      <c r="N31" s="370">
        <f t="shared" si="38"/>
        <v>500</v>
      </c>
      <c r="O31" s="370"/>
      <c r="P31" s="370"/>
      <c r="Q31" s="370">
        <v>500</v>
      </c>
      <c r="R31" s="370"/>
      <c r="S31" s="370">
        <f t="shared" si="39"/>
        <v>500</v>
      </c>
      <c r="T31" s="370"/>
      <c r="U31" s="370"/>
      <c r="V31" s="370">
        <v>500</v>
      </c>
      <c r="W31" s="146"/>
      <c r="X31" s="370">
        <f t="shared" si="40"/>
        <v>500</v>
      </c>
      <c r="Y31" s="370"/>
      <c r="Z31" s="370"/>
      <c r="AA31" s="370">
        <v>500</v>
      </c>
      <c r="AB31" s="370"/>
      <c r="AC31" s="370">
        <f t="shared" si="41"/>
        <v>500</v>
      </c>
      <c r="AD31" s="370"/>
      <c r="AE31" s="370"/>
      <c r="AF31" s="370">
        <v>500</v>
      </c>
      <c r="AG31" s="370"/>
      <c r="AH31" s="181"/>
    </row>
    <row r="32" spans="1:34" s="182" customFormat="1" ht="58.5" customHeight="1">
      <c r="A32" s="633">
        <v>7</v>
      </c>
      <c r="B32" s="440" t="s">
        <v>172</v>
      </c>
      <c r="C32" s="146" t="s">
        <v>61</v>
      </c>
      <c r="D32" s="568" t="s">
        <v>213</v>
      </c>
      <c r="E32" s="298" t="s">
        <v>42</v>
      </c>
      <c r="F32" s="146">
        <v>8012052</v>
      </c>
      <c r="G32" s="589">
        <v>292</v>
      </c>
      <c r="H32" s="144" t="s">
        <v>222</v>
      </c>
      <c r="I32" s="163" t="s">
        <v>80</v>
      </c>
      <c r="J32" s="138" t="s">
        <v>245</v>
      </c>
      <c r="K32" s="590">
        <v>3508.6509999999998</v>
      </c>
      <c r="L32" s="590">
        <v>263.50575500000002</v>
      </c>
      <c r="M32" s="590"/>
      <c r="N32" s="370">
        <f t="shared" ref="N32:N35" si="42">SUM(O32:R32)</f>
        <v>2450</v>
      </c>
      <c r="O32" s="370"/>
      <c r="P32" s="370"/>
      <c r="Q32" s="370">
        <v>2450</v>
      </c>
      <c r="R32" s="370"/>
      <c r="S32" s="370">
        <f t="shared" si="39"/>
        <v>2188.107</v>
      </c>
      <c r="T32" s="370"/>
      <c r="U32" s="370"/>
      <c r="V32" s="370">
        <f>2188107000/1000000</f>
        <v>2188.107</v>
      </c>
      <c r="W32" s="146"/>
      <c r="X32" s="370">
        <f t="shared" ref="X32:X35" si="43">SUM(Y32:AB32)</f>
        <v>2450</v>
      </c>
      <c r="Y32" s="370"/>
      <c r="Z32" s="370"/>
      <c r="AA32" s="370">
        <v>2450</v>
      </c>
      <c r="AB32" s="370"/>
      <c r="AC32" s="370">
        <f t="shared" ref="AC32:AC35" si="44">SUM(AD32:AG32)</f>
        <v>2450</v>
      </c>
      <c r="AD32" s="370"/>
      <c r="AE32" s="370"/>
      <c r="AF32" s="370">
        <v>2450</v>
      </c>
      <c r="AG32" s="370"/>
      <c r="AH32" s="181"/>
    </row>
    <row r="33" spans="1:34" s="21" customFormat="1" ht="58.5" customHeight="1">
      <c r="A33" s="633">
        <v>8</v>
      </c>
      <c r="B33" s="440" t="s">
        <v>174</v>
      </c>
      <c r="C33" s="441" t="s">
        <v>61</v>
      </c>
      <c r="D33" s="172" t="s">
        <v>102</v>
      </c>
      <c r="E33" s="111" t="s">
        <v>42</v>
      </c>
      <c r="F33" s="441">
        <v>8011584</v>
      </c>
      <c r="G33" s="442">
        <v>292</v>
      </c>
      <c r="H33" s="443" t="s">
        <v>122</v>
      </c>
      <c r="I33" s="444" t="s">
        <v>80</v>
      </c>
      <c r="J33" s="445" t="s">
        <v>125</v>
      </c>
      <c r="K33" s="446">
        <v>3710</v>
      </c>
      <c r="L33" s="441"/>
      <c r="M33" s="441"/>
      <c r="N33" s="370">
        <f t="shared" si="42"/>
        <v>2300</v>
      </c>
      <c r="O33" s="370"/>
      <c r="P33" s="370"/>
      <c r="Q33" s="370">
        <v>2300</v>
      </c>
      <c r="R33" s="370"/>
      <c r="S33" s="370">
        <f t="shared" si="39"/>
        <v>2300</v>
      </c>
      <c r="T33" s="370"/>
      <c r="U33" s="370"/>
      <c r="V33" s="370">
        <v>2300</v>
      </c>
      <c r="W33" s="441"/>
      <c r="X33" s="370">
        <f t="shared" si="43"/>
        <v>2300</v>
      </c>
      <c r="Y33" s="370"/>
      <c r="Z33" s="370"/>
      <c r="AA33" s="370">
        <v>2300</v>
      </c>
      <c r="AB33" s="370"/>
      <c r="AC33" s="370">
        <f t="shared" si="44"/>
        <v>2300</v>
      </c>
      <c r="AD33" s="370"/>
      <c r="AE33" s="370"/>
      <c r="AF33" s="370">
        <v>2300</v>
      </c>
      <c r="AG33" s="370"/>
      <c r="AH33" s="20"/>
    </row>
    <row r="34" spans="1:34" s="21" customFormat="1" ht="58.5" customHeight="1">
      <c r="A34" s="633">
        <v>9</v>
      </c>
      <c r="B34" s="440" t="s">
        <v>119</v>
      </c>
      <c r="C34" s="146" t="s">
        <v>61</v>
      </c>
      <c r="D34" s="655"/>
      <c r="E34" s="76"/>
      <c r="F34" s="441"/>
      <c r="G34" s="442"/>
      <c r="H34" s="443"/>
      <c r="I34" s="444"/>
      <c r="J34" s="656"/>
      <c r="K34" s="446"/>
      <c r="L34" s="441"/>
      <c r="M34" s="441"/>
      <c r="N34" s="370">
        <f t="shared" si="42"/>
        <v>200</v>
      </c>
      <c r="O34" s="370"/>
      <c r="P34" s="370"/>
      <c r="Q34" s="370">
        <v>200</v>
      </c>
      <c r="R34" s="370"/>
      <c r="S34" s="370">
        <f t="shared" si="39"/>
        <v>200</v>
      </c>
      <c r="T34" s="370"/>
      <c r="U34" s="370"/>
      <c r="V34" s="370">
        <v>200</v>
      </c>
      <c r="W34" s="441"/>
      <c r="X34" s="370">
        <f t="shared" si="43"/>
        <v>200</v>
      </c>
      <c r="Y34" s="370"/>
      <c r="Z34" s="370"/>
      <c r="AA34" s="370">
        <v>200</v>
      </c>
      <c r="AB34" s="370"/>
      <c r="AC34" s="370">
        <f t="shared" si="44"/>
        <v>200</v>
      </c>
      <c r="AD34" s="370"/>
      <c r="AE34" s="370"/>
      <c r="AF34" s="370">
        <v>200</v>
      </c>
      <c r="AG34" s="370"/>
      <c r="AH34" s="20"/>
    </row>
    <row r="35" spans="1:34" s="21" customFormat="1" ht="58.5" customHeight="1">
      <c r="A35" s="633">
        <v>10</v>
      </c>
      <c r="B35" s="440" t="s">
        <v>781</v>
      </c>
      <c r="C35" s="146" t="s">
        <v>61</v>
      </c>
      <c r="D35" s="655"/>
      <c r="E35" s="76"/>
      <c r="F35" s="441"/>
      <c r="G35" s="442"/>
      <c r="H35" s="443"/>
      <c r="I35" s="444"/>
      <c r="J35" s="656"/>
      <c r="K35" s="446"/>
      <c r="L35" s="441"/>
      <c r="M35" s="441"/>
      <c r="N35" s="370">
        <f t="shared" si="42"/>
        <v>16.829999999999998</v>
      </c>
      <c r="O35" s="370"/>
      <c r="P35" s="370"/>
      <c r="Q35" s="370">
        <v>16.829999999999998</v>
      </c>
      <c r="R35" s="370"/>
      <c r="S35" s="370">
        <f t="shared" si="39"/>
        <v>16.829999999999998</v>
      </c>
      <c r="T35" s="370"/>
      <c r="U35" s="370"/>
      <c r="V35" s="370">
        <v>16.829999999999998</v>
      </c>
      <c r="W35" s="441"/>
      <c r="X35" s="370">
        <f t="shared" si="43"/>
        <v>16.829999999999998</v>
      </c>
      <c r="Y35" s="370"/>
      <c r="Z35" s="370"/>
      <c r="AA35" s="370">
        <v>16.829999999999998</v>
      </c>
      <c r="AB35" s="370"/>
      <c r="AC35" s="370">
        <f t="shared" si="44"/>
        <v>16.829999999999998</v>
      </c>
      <c r="AD35" s="370"/>
      <c r="AE35" s="370"/>
      <c r="AF35" s="370">
        <v>16.829999999999998</v>
      </c>
      <c r="AG35" s="370"/>
      <c r="AH35" s="20"/>
    </row>
    <row r="36" spans="1:34">
      <c r="A36" s="89"/>
      <c r="B36" s="90" t="s">
        <v>92</v>
      </c>
      <c r="C36" s="14"/>
      <c r="D36" s="18"/>
      <c r="E36" s="18"/>
      <c r="F36" s="24"/>
      <c r="G36" s="91"/>
      <c r="H36" s="3"/>
      <c r="I36" s="92"/>
      <c r="J36" s="202"/>
      <c r="K36" s="93">
        <f>SUM(K37:K39)</f>
        <v>19941</v>
      </c>
      <c r="L36" s="93">
        <f t="shared" ref="L36:W36" si="45">SUM(L37:L39)</f>
        <v>0</v>
      </c>
      <c r="M36" s="93">
        <f t="shared" si="45"/>
        <v>0</v>
      </c>
      <c r="N36" s="93">
        <f t="shared" si="45"/>
        <v>897.65539999999999</v>
      </c>
      <c r="O36" s="93">
        <f t="shared" si="45"/>
        <v>0</v>
      </c>
      <c r="P36" s="93">
        <f t="shared" si="45"/>
        <v>0</v>
      </c>
      <c r="Q36" s="93">
        <f t="shared" si="45"/>
        <v>897.65539999999999</v>
      </c>
      <c r="R36" s="93">
        <f t="shared" si="45"/>
        <v>0</v>
      </c>
      <c r="S36" s="93">
        <f t="shared" si="45"/>
        <v>897.65539999999999</v>
      </c>
      <c r="T36" s="93">
        <f t="shared" si="45"/>
        <v>0</v>
      </c>
      <c r="U36" s="93">
        <f t="shared" si="45"/>
        <v>0</v>
      </c>
      <c r="V36" s="93">
        <f t="shared" si="45"/>
        <v>897.65539999999999</v>
      </c>
      <c r="W36" s="93">
        <f t="shared" si="45"/>
        <v>0</v>
      </c>
      <c r="X36" s="93">
        <f t="shared" ref="X36:AB36" si="46">SUM(X37:X39)</f>
        <v>897.65539999999999</v>
      </c>
      <c r="Y36" s="93">
        <f t="shared" si="46"/>
        <v>0</v>
      </c>
      <c r="Z36" s="93">
        <f t="shared" si="46"/>
        <v>0</v>
      </c>
      <c r="AA36" s="93">
        <f t="shared" si="46"/>
        <v>897.65539999999999</v>
      </c>
      <c r="AB36" s="93">
        <f t="shared" si="46"/>
        <v>0</v>
      </c>
      <c r="AC36" s="93">
        <f t="shared" ref="AC36:AG36" si="47">SUM(AC37:AC39)</f>
        <v>897.65539999999999</v>
      </c>
      <c r="AD36" s="93">
        <f t="shared" si="47"/>
        <v>0</v>
      </c>
      <c r="AE36" s="93">
        <f t="shared" si="47"/>
        <v>0</v>
      </c>
      <c r="AF36" s="93">
        <f t="shared" si="47"/>
        <v>897.65539999999999</v>
      </c>
      <c r="AG36" s="93">
        <f t="shared" si="47"/>
        <v>0</v>
      </c>
      <c r="AH36" s="94"/>
    </row>
    <row r="37" spans="1:34" s="21" customFormat="1" ht="126">
      <c r="A37" s="448">
        <v>1</v>
      </c>
      <c r="B37" s="449" t="s">
        <v>98</v>
      </c>
      <c r="C37" s="450" t="s">
        <v>61</v>
      </c>
      <c r="D37" s="172" t="s">
        <v>162</v>
      </c>
      <c r="E37" s="111" t="s">
        <v>42</v>
      </c>
      <c r="F37" s="450">
        <v>7871655</v>
      </c>
      <c r="G37" s="451">
        <v>71</v>
      </c>
      <c r="H37" s="452" t="s">
        <v>163</v>
      </c>
      <c r="I37" s="453" t="s">
        <v>80</v>
      </c>
      <c r="J37" s="454" t="s">
        <v>160</v>
      </c>
      <c r="K37" s="455">
        <v>8799</v>
      </c>
      <c r="L37" s="455"/>
      <c r="M37" s="450"/>
      <c r="N37" s="450">
        <f>SUM(O37:R37)</f>
        <v>150</v>
      </c>
      <c r="O37" s="450"/>
      <c r="P37" s="450"/>
      <c r="Q37" s="450">
        <v>150</v>
      </c>
      <c r="R37" s="450"/>
      <c r="S37" s="369">
        <f>SUM(T37:W37)</f>
        <v>150</v>
      </c>
      <c r="T37" s="369"/>
      <c r="U37" s="369"/>
      <c r="V37" s="369">
        <v>150</v>
      </c>
      <c r="W37" s="450"/>
      <c r="X37" s="450">
        <f>SUM(Y37:AB37)</f>
        <v>150</v>
      </c>
      <c r="Y37" s="450"/>
      <c r="Z37" s="450"/>
      <c r="AA37" s="450">
        <v>150</v>
      </c>
      <c r="AB37" s="450"/>
      <c r="AC37" s="450">
        <f>SUM(AD37:AG37)</f>
        <v>150</v>
      </c>
      <c r="AD37" s="450"/>
      <c r="AE37" s="450"/>
      <c r="AF37" s="450">
        <v>150</v>
      </c>
      <c r="AG37" s="450"/>
      <c r="AH37" s="20"/>
    </row>
    <row r="38" spans="1:34" s="21" customFormat="1" ht="94.5">
      <c r="A38" s="448">
        <v>2</v>
      </c>
      <c r="B38" s="456" t="s">
        <v>97</v>
      </c>
      <c r="C38" s="457" t="s">
        <v>61</v>
      </c>
      <c r="D38" s="172" t="s">
        <v>94</v>
      </c>
      <c r="E38" s="111" t="s">
        <v>42</v>
      </c>
      <c r="F38" s="457">
        <v>7921841</v>
      </c>
      <c r="G38" s="458">
        <v>71</v>
      </c>
      <c r="H38" s="459" t="s">
        <v>164</v>
      </c>
      <c r="I38" s="460" t="s">
        <v>48</v>
      </c>
      <c r="J38" s="461" t="s">
        <v>54</v>
      </c>
      <c r="K38" s="462">
        <v>5571</v>
      </c>
      <c r="L38" s="462"/>
      <c r="M38" s="457"/>
      <c r="N38" s="457">
        <f>SUM(O38:R38)</f>
        <v>150</v>
      </c>
      <c r="O38" s="457"/>
      <c r="P38" s="457"/>
      <c r="Q38" s="457">
        <v>150</v>
      </c>
      <c r="R38" s="457"/>
      <c r="S38" s="592">
        <f>SUM(T38:W38)</f>
        <v>150</v>
      </c>
      <c r="T38" s="463"/>
      <c r="U38" s="463"/>
      <c r="V38" s="593">
        <v>150</v>
      </c>
      <c r="W38" s="457"/>
      <c r="X38" s="457">
        <f>SUM(Y38:AB38)</f>
        <v>150</v>
      </c>
      <c r="Y38" s="457"/>
      <c r="Z38" s="457"/>
      <c r="AA38" s="457">
        <v>150</v>
      </c>
      <c r="AB38" s="457"/>
      <c r="AC38" s="457">
        <f>SUM(AD38:AG38)</f>
        <v>150</v>
      </c>
      <c r="AD38" s="457"/>
      <c r="AE38" s="457"/>
      <c r="AF38" s="457">
        <v>150</v>
      </c>
      <c r="AG38" s="457"/>
      <c r="AH38" s="20"/>
    </row>
    <row r="39" spans="1:34" s="182" customFormat="1" ht="94.5">
      <c r="A39" s="131">
        <v>3</v>
      </c>
      <c r="B39" s="594" t="s">
        <v>524</v>
      </c>
      <c r="C39" s="148" t="s">
        <v>61</v>
      </c>
      <c r="D39" s="568" t="s">
        <v>94</v>
      </c>
      <c r="E39" s="298" t="s">
        <v>42</v>
      </c>
      <c r="F39" s="148">
        <v>8017209</v>
      </c>
      <c r="G39" s="595">
        <v>71</v>
      </c>
      <c r="H39" s="596" t="s">
        <v>164</v>
      </c>
      <c r="I39" s="597" t="s">
        <v>48</v>
      </c>
      <c r="J39" s="598" t="s">
        <v>54</v>
      </c>
      <c r="K39" s="492">
        <v>5571</v>
      </c>
      <c r="L39" s="492"/>
      <c r="M39" s="148"/>
      <c r="N39" s="148">
        <f>SUM(O39:R39)</f>
        <v>597.65539999999999</v>
      </c>
      <c r="O39" s="148"/>
      <c r="P39" s="148"/>
      <c r="Q39" s="148">
        <f>597655400/1000000</f>
        <v>597.65539999999999</v>
      </c>
      <c r="R39" s="148"/>
      <c r="S39" s="599">
        <f>SUM(T39:W39)</f>
        <v>597.65539999999999</v>
      </c>
      <c r="T39" s="593"/>
      <c r="U39" s="593"/>
      <c r="V39" s="593">
        <f>597655400/1000000</f>
        <v>597.65539999999999</v>
      </c>
      <c r="W39" s="148"/>
      <c r="X39" s="148">
        <f>SUM(Y39:AB39)</f>
        <v>597.65539999999999</v>
      </c>
      <c r="Y39" s="148"/>
      <c r="Z39" s="148"/>
      <c r="AA39" s="148">
        <f>597655400/1000000</f>
        <v>597.65539999999999</v>
      </c>
      <c r="AB39" s="148"/>
      <c r="AC39" s="148">
        <f>SUM(AD39:AG39)</f>
        <v>597.65539999999999</v>
      </c>
      <c r="AD39" s="148"/>
      <c r="AE39" s="148"/>
      <c r="AF39" s="148">
        <f>597655400/1000000</f>
        <v>597.65539999999999</v>
      </c>
      <c r="AG39" s="148"/>
      <c r="AH39" s="181"/>
    </row>
    <row r="40" spans="1:34" s="21" customFormat="1">
      <c r="A40" s="464"/>
      <c r="B40" s="465" t="s">
        <v>703</v>
      </c>
      <c r="C40" s="466"/>
      <c r="D40" s="172"/>
      <c r="E40" s="111"/>
      <c r="F40" s="467"/>
      <c r="G40" s="468"/>
      <c r="H40" s="469"/>
      <c r="I40" s="470"/>
      <c r="J40" s="471"/>
      <c r="K40" s="472">
        <f>SUM(K41:K41)</f>
        <v>8799</v>
      </c>
      <c r="L40" s="472">
        <f>SUM(L41:L41)</f>
        <v>0</v>
      </c>
      <c r="M40" s="472">
        <f>SUM(M41:M41)</f>
        <v>0</v>
      </c>
      <c r="N40" s="472">
        <f>SUM(N41:N41)</f>
        <v>63.160600000000002</v>
      </c>
      <c r="O40" s="472">
        <f>O41</f>
        <v>0</v>
      </c>
      <c r="P40" s="472">
        <f t="shared" ref="P40:AG40" si="48">P41</f>
        <v>0</v>
      </c>
      <c r="Q40" s="472">
        <f t="shared" si="48"/>
        <v>63.160600000000002</v>
      </c>
      <c r="R40" s="472">
        <f t="shared" si="48"/>
        <v>0</v>
      </c>
      <c r="S40" s="472">
        <f t="shared" si="48"/>
        <v>63.160600000000002</v>
      </c>
      <c r="T40" s="472">
        <f t="shared" si="48"/>
        <v>0</v>
      </c>
      <c r="U40" s="472">
        <f t="shared" si="48"/>
        <v>0</v>
      </c>
      <c r="V40" s="472">
        <f t="shared" si="48"/>
        <v>63.160600000000002</v>
      </c>
      <c r="W40" s="472">
        <f t="shared" si="48"/>
        <v>0</v>
      </c>
      <c r="X40" s="472">
        <f>SUM(X41:X41)</f>
        <v>63.160600000000002</v>
      </c>
      <c r="Y40" s="472">
        <f>Y41</f>
        <v>0</v>
      </c>
      <c r="Z40" s="472">
        <f t="shared" si="48"/>
        <v>0</v>
      </c>
      <c r="AA40" s="472">
        <f t="shared" si="48"/>
        <v>63.160600000000002</v>
      </c>
      <c r="AB40" s="472">
        <f t="shared" si="48"/>
        <v>0</v>
      </c>
      <c r="AC40" s="472">
        <f>SUM(AC41:AC41)</f>
        <v>63.160600000000002</v>
      </c>
      <c r="AD40" s="472">
        <f>AD41</f>
        <v>0</v>
      </c>
      <c r="AE40" s="472">
        <f t="shared" si="48"/>
        <v>0</v>
      </c>
      <c r="AF40" s="472">
        <f t="shared" si="48"/>
        <v>63.160600000000002</v>
      </c>
      <c r="AG40" s="472">
        <f t="shared" si="48"/>
        <v>0</v>
      </c>
      <c r="AH40" s="20"/>
    </row>
    <row r="41" spans="1:34" s="182" customFormat="1" ht="126">
      <c r="A41" s="131">
        <v>1</v>
      </c>
      <c r="B41" s="594" t="s">
        <v>521</v>
      </c>
      <c r="C41" s="147" t="s">
        <v>61</v>
      </c>
      <c r="D41" s="568" t="s">
        <v>162</v>
      </c>
      <c r="E41" s="298" t="s">
        <v>42</v>
      </c>
      <c r="F41" s="147">
        <v>8017207</v>
      </c>
      <c r="G41" s="600">
        <v>71</v>
      </c>
      <c r="H41" s="601" t="s">
        <v>163</v>
      </c>
      <c r="I41" s="602" t="s">
        <v>80</v>
      </c>
      <c r="J41" s="603" t="s">
        <v>160</v>
      </c>
      <c r="K41" s="604">
        <v>8799</v>
      </c>
      <c r="L41" s="604"/>
      <c r="M41" s="147"/>
      <c r="N41" s="147">
        <f>SUM(O41:R41)</f>
        <v>63.160600000000002</v>
      </c>
      <c r="O41" s="147"/>
      <c r="P41" s="147"/>
      <c r="Q41" s="593">
        <v>63.160600000000002</v>
      </c>
      <c r="R41" s="147"/>
      <c r="S41" s="147">
        <f>SUM(T41:W41)</f>
        <v>63.160600000000002</v>
      </c>
      <c r="T41" s="147"/>
      <c r="U41" s="147"/>
      <c r="V41" s="593">
        <v>63.160600000000002</v>
      </c>
      <c r="W41" s="147"/>
      <c r="X41" s="147">
        <f>SUM(Y41:AB41)</f>
        <v>63.160600000000002</v>
      </c>
      <c r="Y41" s="147"/>
      <c r="Z41" s="147"/>
      <c r="AA41" s="593">
        <v>63.160600000000002</v>
      </c>
      <c r="AB41" s="147"/>
      <c r="AC41" s="147">
        <f>SUM(AD41:AG41)</f>
        <v>63.160600000000002</v>
      </c>
      <c r="AD41" s="147"/>
      <c r="AE41" s="147"/>
      <c r="AF41" s="593">
        <v>63.160600000000002</v>
      </c>
      <c r="AG41" s="147"/>
      <c r="AH41" s="181"/>
    </row>
    <row r="42" spans="1:34" s="139" customFormat="1">
      <c r="A42" s="401"/>
      <c r="B42" s="402" t="s">
        <v>166</v>
      </c>
      <c r="C42" s="402"/>
      <c r="D42" s="402"/>
      <c r="E42" s="402"/>
      <c r="F42" s="401"/>
      <c r="G42" s="401"/>
      <c r="H42" s="402"/>
      <c r="I42" s="402"/>
      <c r="J42" s="402"/>
      <c r="K42" s="241">
        <f t="shared" ref="K42:W42" si="49">K43+K61+K65+K69+K71</f>
        <v>88363.30799999999</v>
      </c>
      <c r="L42" s="241">
        <f t="shared" si="49"/>
        <v>4646</v>
      </c>
      <c r="M42" s="241">
        <f t="shared" si="49"/>
        <v>0</v>
      </c>
      <c r="N42" s="241">
        <f t="shared" si="49"/>
        <v>56311.565999999999</v>
      </c>
      <c r="O42" s="241">
        <f t="shared" si="49"/>
        <v>0</v>
      </c>
      <c r="P42" s="241">
        <f t="shared" si="49"/>
        <v>0</v>
      </c>
      <c r="Q42" s="241">
        <f t="shared" si="49"/>
        <v>56311.565999999999</v>
      </c>
      <c r="R42" s="241">
        <f t="shared" si="49"/>
        <v>0</v>
      </c>
      <c r="S42" s="241">
        <f t="shared" si="49"/>
        <v>47645.8145</v>
      </c>
      <c r="T42" s="241">
        <f t="shared" si="49"/>
        <v>0</v>
      </c>
      <c r="U42" s="241">
        <f t="shared" si="49"/>
        <v>0</v>
      </c>
      <c r="V42" s="241">
        <f t="shared" si="49"/>
        <v>47645.8145</v>
      </c>
      <c r="W42" s="241">
        <f t="shared" si="49"/>
        <v>0</v>
      </c>
      <c r="X42" s="241">
        <f t="shared" ref="X42:AB42" si="50">X43+X61+X65+X69+X71</f>
        <v>56311.565999999999</v>
      </c>
      <c r="Y42" s="241">
        <f t="shared" si="50"/>
        <v>0</v>
      </c>
      <c r="Z42" s="241">
        <f t="shared" si="50"/>
        <v>0</v>
      </c>
      <c r="AA42" s="241">
        <f t="shared" si="50"/>
        <v>56311.565999999999</v>
      </c>
      <c r="AB42" s="241">
        <f t="shared" si="50"/>
        <v>0</v>
      </c>
      <c r="AC42" s="241">
        <f t="shared" ref="AC42:AG42" si="51">AC43+AC61+AC65+AC69+AC71</f>
        <v>56311.565999999999</v>
      </c>
      <c r="AD42" s="241">
        <f t="shared" si="51"/>
        <v>0</v>
      </c>
      <c r="AE42" s="241">
        <f t="shared" si="51"/>
        <v>0</v>
      </c>
      <c r="AF42" s="241">
        <f t="shared" si="51"/>
        <v>56311.565999999999</v>
      </c>
      <c r="AG42" s="241">
        <f t="shared" si="51"/>
        <v>0</v>
      </c>
      <c r="AH42" s="403"/>
    </row>
    <row r="43" spans="1:34" s="139" customFormat="1">
      <c r="A43" s="401"/>
      <c r="B43" s="402" t="s">
        <v>91</v>
      </c>
      <c r="C43" s="402"/>
      <c r="D43" s="402"/>
      <c r="E43" s="402"/>
      <c r="F43" s="401"/>
      <c r="G43" s="401"/>
      <c r="H43" s="402"/>
      <c r="I43" s="402"/>
      <c r="J43" s="402"/>
      <c r="K43" s="241">
        <f t="shared" ref="K43:W43" si="52">SUM(K44:K60)</f>
        <v>50786.307999999997</v>
      </c>
      <c r="L43" s="241">
        <f t="shared" si="52"/>
        <v>3855</v>
      </c>
      <c r="M43" s="241">
        <f t="shared" si="52"/>
        <v>0</v>
      </c>
      <c r="N43" s="241">
        <f t="shared" si="52"/>
        <v>33038.483</v>
      </c>
      <c r="O43" s="241">
        <f t="shared" si="52"/>
        <v>0</v>
      </c>
      <c r="P43" s="241">
        <f t="shared" si="52"/>
        <v>0</v>
      </c>
      <c r="Q43" s="241">
        <f t="shared" si="52"/>
        <v>33038.483</v>
      </c>
      <c r="R43" s="241">
        <f t="shared" si="52"/>
        <v>0</v>
      </c>
      <c r="S43" s="241">
        <f t="shared" si="52"/>
        <v>28715.910500000002</v>
      </c>
      <c r="T43" s="241">
        <f t="shared" si="52"/>
        <v>0</v>
      </c>
      <c r="U43" s="241">
        <f t="shared" si="52"/>
        <v>0</v>
      </c>
      <c r="V43" s="241">
        <f t="shared" si="52"/>
        <v>28715.910500000002</v>
      </c>
      <c r="W43" s="241">
        <f t="shared" si="52"/>
        <v>0</v>
      </c>
      <c r="X43" s="241">
        <f t="shared" ref="X43:AB43" si="53">SUM(X44:X60)</f>
        <v>33038.483</v>
      </c>
      <c r="Y43" s="241">
        <f t="shared" si="53"/>
        <v>0</v>
      </c>
      <c r="Z43" s="241">
        <f t="shared" si="53"/>
        <v>0</v>
      </c>
      <c r="AA43" s="241">
        <f t="shared" si="53"/>
        <v>33038.483</v>
      </c>
      <c r="AB43" s="241">
        <f t="shared" si="53"/>
        <v>0</v>
      </c>
      <c r="AC43" s="241">
        <f t="shared" ref="AC43:AG43" si="54">SUM(AC44:AC60)</f>
        <v>33038.483</v>
      </c>
      <c r="AD43" s="241">
        <f t="shared" si="54"/>
        <v>0</v>
      </c>
      <c r="AE43" s="241">
        <f t="shared" si="54"/>
        <v>0</v>
      </c>
      <c r="AF43" s="241">
        <f t="shared" si="54"/>
        <v>33038.483</v>
      </c>
      <c r="AG43" s="241">
        <f t="shared" si="54"/>
        <v>0</v>
      </c>
      <c r="AH43" s="403"/>
    </row>
    <row r="44" spans="1:34" s="21" customFormat="1" ht="47.25">
      <c r="A44" s="473" t="s">
        <v>167</v>
      </c>
      <c r="B44" s="474" t="s">
        <v>168</v>
      </c>
      <c r="C44" s="450" t="s">
        <v>61</v>
      </c>
      <c r="D44" s="172" t="s">
        <v>213</v>
      </c>
      <c r="E44" s="111" t="s">
        <v>42</v>
      </c>
      <c r="F44" s="450">
        <v>8012035</v>
      </c>
      <c r="G44" s="475">
        <v>292</v>
      </c>
      <c r="H44" s="476" t="s">
        <v>219</v>
      </c>
      <c r="I44" s="453" t="s">
        <v>80</v>
      </c>
      <c r="J44" s="452" t="s">
        <v>242</v>
      </c>
      <c r="K44" s="455">
        <v>4476.3819999999996</v>
      </c>
      <c r="L44" s="455">
        <v>336</v>
      </c>
      <c r="M44" s="455"/>
      <c r="N44" s="369">
        <f>SUM(O44:R44)</f>
        <v>3500</v>
      </c>
      <c r="O44" s="369"/>
      <c r="P44" s="369"/>
      <c r="Q44" s="369">
        <v>3500</v>
      </c>
      <c r="R44" s="369"/>
      <c r="S44" s="369">
        <f>SUM(T44:W44)</f>
        <v>2791.2890000000002</v>
      </c>
      <c r="T44" s="369"/>
      <c r="U44" s="369"/>
      <c r="V44" s="369">
        <f>2791289000/1000000</f>
        <v>2791.2890000000002</v>
      </c>
      <c r="W44" s="117"/>
      <c r="X44" s="369">
        <f>SUM(Y44:AB44)</f>
        <v>3500</v>
      </c>
      <c r="Y44" s="369"/>
      <c r="Z44" s="369"/>
      <c r="AA44" s="369">
        <v>3500</v>
      </c>
      <c r="AB44" s="369"/>
      <c r="AC44" s="369">
        <f>SUM(AD44:AG44)</f>
        <v>3500</v>
      </c>
      <c r="AD44" s="369"/>
      <c r="AE44" s="369"/>
      <c r="AF44" s="369">
        <v>3500</v>
      </c>
      <c r="AG44" s="369"/>
      <c r="AH44" s="20"/>
    </row>
    <row r="45" spans="1:34" s="21" customFormat="1" ht="47.25">
      <c r="A45" s="473" t="s">
        <v>169</v>
      </c>
      <c r="B45" s="447" t="s">
        <v>170</v>
      </c>
      <c r="C45" s="441" t="s">
        <v>61</v>
      </c>
      <c r="D45" s="172" t="s">
        <v>213</v>
      </c>
      <c r="E45" s="111" t="s">
        <v>42</v>
      </c>
      <c r="F45" s="441">
        <v>8012033</v>
      </c>
      <c r="G45" s="477">
        <v>292</v>
      </c>
      <c r="H45" s="478" t="s">
        <v>220</v>
      </c>
      <c r="I45" s="284" t="s">
        <v>80</v>
      </c>
      <c r="J45" s="479" t="s">
        <v>243</v>
      </c>
      <c r="K45" s="480">
        <v>3181.5450000000001</v>
      </c>
      <c r="L45" s="480">
        <v>238</v>
      </c>
      <c r="M45" s="480"/>
      <c r="N45" s="370">
        <f t="shared" ref="N45:N60" si="55">SUM(O45:R45)</f>
        <v>2650</v>
      </c>
      <c r="O45" s="370"/>
      <c r="P45" s="370"/>
      <c r="Q45" s="370">
        <f>200+2500-50</f>
        <v>2650</v>
      </c>
      <c r="R45" s="370"/>
      <c r="S45" s="370">
        <f t="shared" ref="S45:S60" si="56">SUM(T45:W45)</f>
        <v>1999.413</v>
      </c>
      <c r="T45" s="370"/>
      <c r="U45" s="370"/>
      <c r="V45" s="370">
        <f>1999413000/1000000</f>
        <v>1999.413</v>
      </c>
      <c r="W45" s="117"/>
      <c r="X45" s="370">
        <f t="shared" ref="X45:X60" si="57">SUM(Y45:AB45)</f>
        <v>2650</v>
      </c>
      <c r="Y45" s="370"/>
      <c r="Z45" s="370"/>
      <c r="AA45" s="370">
        <f>200+2500-50</f>
        <v>2650</v>
      </c>
      <c r="AB45" s="370"/>
      <c r="AC45" s="370">
        <f t="shared" ref="AC45:AC60" si="58">SUM(AD45:AG45)</f>
        <v>2650</v>
      </c>
      <c r="AD45" s="370"/>
      <c r="AE45" s="370"/>
      <c r="AF45" s="370">
        <f>200+2500-50</f>
        <v>2650</v>
      </c>
      <c r="AG45" s="370"/>
      <c r="AH45" s="20"/>
    </row>
    <row r="46" spans="1:34" s="21" customFormat="1" ht="47.25">
      <c r="A46" s="473" t="s">
        <v>171</v>
      </c>
      <c r="B46" s="447" t="s">
        <v>176</v>
      </c>
      <c r="C46" s="441" t="s">
        <v>61</v>
      </c>
      <c r="D46" s="172" t="s">
        <v>213</v>
      </c>
      <c r="E46" s="111" t="s">
        <v>42</v>
      </c>
      <c r="F46" s="441">
        <v>8012031</v>
      </c>
      <c r="G46" s="477">
        <v>292</v>
      </c>
      <c r="H46" s="478" t="s">
        <v>223</v>
      </c>
      <c r="I46" s="284" t="s">
        <v>80</v>
      </c>
      <c r="J46" s="479" t="s">
        <v>246</v>
      </c>
      <c r="K46" s="480">
        <v>6804.951</v>
      </c>
      <c r="L46" s="480">
        <v>511</v>
      </c>
      <c r="M46" s="480"/>
      <c r="N46" s="370">
        <f t="shared" si="55"/>
        <v>3601.4830000000002</v>
      </c>
      <c r="O46" s="370"/>
      <c r="P46" s="370"/>
      <c r="Q46" s="370">
        <f>3594+7.483</f>
        <v>3601.4830000000002</v>
      </c>
      <c r="R46" s="370"/>
      <c r="S46" s="370">
        <f t="shared" si="56"/>
        <v>2281.1675</v>
      </c>
      <c r="T46" s="370"/>
      <c r="U46" s="370"/>
      <c r="V46" s="370">
        <f>2281167500/1000000</f>
        <v>2281.1675</v>
      </c>
      <c r="W46" s="117"/>
      <c r="X46" s="370">
        <f t="shared" si="57"/>
        <v>3601.4830000000002</v>
      </c>
      <c r="Y46" s="370"/>
      <c r="Z46" s="370"/>
      <c r="AA46" s="370">
        <f>3594+7.483</f>
        <v>3601.4830000000002</v>
      </c>
      <c r="AB46" s="370"/>
      <c r="AC46" s="370">
        <f t="shared" si="58"/>
        <v>3601.4830000000002</v>
      </c>
      <c r="AD46" s="370"/>
      <c r="AE46" s="370"/>
      <c r="AF46" s="370">
        <f>3594+7.483</f>
        <v>3601.4830000000002</v>
      </c>
      <c r="AG46" s="370"/>
      <c r="AH46" s="20"/>
    </row>
    <row r="47" spans="1:34" s="21" customFormat="1" ht="47.25">
      <c r="A47" s="473" t="s">
        <v>173</v>
      </c>
      <c r="B47" s="447" t="s">
        <v>178</v>
      </c>
      <c r="C47" s="441" t="s">
        <v>61</v>
      </c>
      <c r="D47" s="172" t="s">
        <v>213</v>
      </c>
      <c r="E47" s="111" t="s">
        <v>42</v>
      </c>
      <c r="F47" s="441">
        <v>8012041</v>
      </c>
      <c r="G47" s="477">
        <v>292</v>
      </c>
      <c r="H47" s="478" t="s">
        <v>224</v>
      </c>
      <c r="I47" s="284" t="s">
        <v>80</v>
      </c>
      <c r="J47" s="479" t="s">
        <v>247</v>
      </c>
      <c r="K47" s="480">
        <v>3082.9650000000001</v>
      </c>
      <c r="L47" s="480">
        <v>248</v>
      </c>
      <c r="M47" s="480"/>
      <c r="N47" s="370">
        <f t="shared" si="55"/>
        <v>2400</v>
      </c>
      <c r="O47" s="370"/>
      <c r="P47" s="370"/>
      <c r="Q47" s="370">
        <v>2400</v>
      </c>
      <c r="R47" s="370"/>
      <c r="S47" s="370">
        <f t="shared" si="56"/>
        <v>2069.2255</v>
      </c>
      <c r="T47" s="370"/>
      <c r="U47" s="370"/>
      <c r="V47" s="370">
        <f>2069225500/1000000</f>
        <v>2069.2255</v>
      </c>
      <c r="W47" s="117"/>
      <c r="X47" s="370">
        <f t="shared" si="57"/>
        <v>2400</v>
      </c>
      <c r="Y47" s="370"/>
      <c r="Z47" s="370"/>
      <c r="AA47" s="370">
        <v>2400</v>
      </c>
      <c r="AB47" s="370"/>
      <c r="AC47" s="370">
        <f t="shared" si="58"/>
        <v>2400</v>
      </c>
      <c r="AD47" s="370"/>
      <c r="AE47" s="370"/>
      <c r="AF47" s="370">
        <v>2400</v>
      </c>
      <c r="AG47" s="370"/>
      <c r="AH47" s="20"/>
    </row>
    <row r="48" spans="1:34" s="21" customFormat="1" ht="47.25">
      <c r="A48" s="473" t="s">
        <v>175</v>
      </c>
      <c r="B48" s="447" t="s">
        <v>180</v>
      </c>
      <c r="C48" s="441" t="s">
        <v>61</v>
      </c>
      <c r="D48" s="172" t="s">
        <v>213</v>
      </c>
      <c r="E48" s="111" t="s">
        <v>42</v>
      </c>
      <c r="F48" s="441">
        <v>8012048</v>
      </c>
      <c r="G48" s="477">
        <v>292</v>
      </c>
      <c r="H48" s="478" t="s">
        <v>225</v>
      </c>
      <c r="I48" s="284" t="s">
        <v>80</v>
      </c>
      <c r="J48" s="479" t="s">
        <v>248</v>
      </c>
      <c r="K48" s="480">
        <v>3126.12</v>
      </c>
      <c r="L48" s="480">
        <v>234</v>
      </c>
      <c r="M48" s="480"/>
      <c r="N48" s="370">
        <f t="shared" si="55"/>
        <v>2500</v>
      </c>
      <c r="O48" s="370"/>
      <c r="P48" s="370"/>
      <c r="Q48" s="370">
        <v>2500</v>
      </c>
      <c r="R48" s="370"/>
      <c r="S48" s="370">
        <f t="shared" si="56"/>
        <v>2033.0519999999999</v>
      </c>
      <c r="T48" s="370"/>
      <c r="U48" s="370"/>
      <c r="V48" s="370">
        <f>2033052000/1000000</f>
        <v>2033.0519999999999</v>
      </c>
      <c r="W48" s="117"/>
      <c r="X48" s="370">
        <f t="shared" si="57"/>
        <v>2500</v>
      </c>
      <c r="Y48" s="370"/>
      <c r="Z48" s="370"/>
      <c r="AA48" s="370">
        <v>2500</v>
      </c>
      <c r="AB48" s="370"/>
      <c r="AC48" s="370">
        <f t="shared" si="58"/>
        <v>2500</v>
      </c>
      <c r="AD48" s="370"/>
      <c r="AE48" s="370"/>
      <c r="AF48" s="370">
        <v>2500</v>
      </c>
      <c r="AG48" s="370"/>
      <c r="AH48" s="20"/>
    </row>
    <row r="49" spans="1:34" s="182" customFormat="1" ht="63">
      <c r="A49" s="605" t="s">
        <v>177</v>
      </c>
      <c r="B49" s="591" t="s">
        <v>182</v>
      </c>
      <c r="C49" s="146" t="s">
        <v>61</v>
      </c>
      <c r="D49" s="568" t="s">
        <v>213</v>
      </c>
      <c r="E49" s="298" t="s">
        <v>42</v>
      </c>
      <c r="F49" s="146">
        <v>8012053</v>
      </c>
      <c r="G49" s="606">
        <v>292</v>
      </c>
      <c r="H49" s="607" t="s">
        <v>226</v>
      </c>
      <c r="I49" s="255" t="s">
        <v>80</v>
      </c>
      <c r="J49" s="568" t="s">
        <v>249</v>
      </c>
      <c r="K49" s="608">
        <v>6174.4309999999996</v>
      </c>
      <c r="L49" s="608">
        <v>463</v>
      </c>
      <c r="M49" s="608"/>
      <c r="N49" s="370">
        <f t="shared" si="55"/>
        <v>3500</v>
      </c>
      <c r="O49" s="370"/>
      <c r="P49" s="370"/>
      <c r="Q49" s="370">
        <v>3500</v>
      </c>
      <c r="R49" s="370"/>
      <c r="S49" s="370">
        <f t="shared" si="56"/>
        <v>2989.1424999999999</v>
      </c>
      <c r="T49" s="370"/>
      <c r="U49" s="370"/>
      <c r="V49" s="370">
        <f>2989142500/1000000</f>
        <v>2989.1424999999999</v>
      </c>
      <c r="W49" s="148"/>
      <c r="X49" s="370">
        <f t="shared" si="57"/>
        <v>3500</v>
      </c>
      <c r="Y49" s="370"/>
      <c r="Z49" s="370"/>
      <c r="AA49" s="370">
        <v>3500</v>
      </c>
      <c r="AB49" s="370"/>
      <c r="AC49" s="370">
        <f t="shared" si="58"/>
        <v>3500</v>
      </c>
      <c r="AD49" s="370"/>
      <c r="AE49" s="370"/>
      <c r="AF49" s="370">
        <v>3500</v>
      </c>
      <c r="AG49" s="370"/>
      <c r="AH49" s="181"/>
    </row>
    <row r="50" spans="1:34" s="21" customFormat="1" ht="47.25">
      <c r="A50" s="473" t="s">
        <v>179</v>
      </c>
      <c r="B50" s="447" t="s">
        <v>184</v>
      </c>
      <c r="C50" s="441" t="s">
        <v>61</v>
      </c>
      <c r="D50" s="172" t="s">
        <v>213</v>
      </c>
      <c r="E50" s="111" t="s">
        <v>42</v>
      </c>
      <c r="F50" s="441">
        <v>8012040</v>
      </c>
      <c r="G50" s="477">
        <v>292</v>
      </c>
      <c r="H50" s="478" t="s">
        <v>227</v>
      </c>
      <c r="I50" s="284" t="s">
        <v>80</v>
      </c>
      <c r="J50" s="479" t="s">
        <v>250</v>
      </c>
      <c r="K50" s="480">
        <v>1101.4870000000001</v>
      </c>
      <c r="L50" s="480">
        <v>88</v>
      </c>
      <c r="M50" s="480"/>
      <c r="N50" s="370">
        <f t="shared" si="55"/>
        <v>660</v>
      </c>
      <c r="O50" s="370"/>
      <c r="P50" s="370"/>
      <c r="Q50" s="370">
        <v>660</v>
      </c>
      <c r="R50" s="370"/>
      <c r="S50" s="370">
        <f t="shared" si="56"/>
        <v>440.03300000000002</v>
      </c>
      <c r="T50" s="370"/>
      <c r="U50" s="370"/>
      <c r="V50" s="370">
        <f>440033000/1000000</f>
        <v>440.03300000000002</v>
      </c>
      <c r="W50" s="117"/>
      <c r="X50" s="370">
        <f t="shared" si="57"/>
        <v>660</v>
      </c>
      <c r="Y50" s="370"/>
      <c r="Z50" s="370"/>
      <c r="AA50" s="370">
        <v>660</v>
      </c>
      <c r="AB50" s="370"/>
      <c r="AC50" s="370">
        <f t="shared" si="58"/>
        <v>660</v>
      </c>
      <c r="AD50" s="370"/>
      <c r="AE50" s="370"/>
      <c r="AF50" s="370">
        <v>660</v>
      </c>
      <c r="AG50" s="370"/>
      <c r="AH50" s="20"/>
    </row>
    <row r="51" spans="1:34" s="21" customFormat="1" ht="63">
      <c r="A51" s="473" t="s">
        <v>181</v>
      </c>
      <c r="B51" s="440" t="s">
        <v>186</v>
      </c>
      <c r="C51" s="441" t="s">
        <v>61</v>
      </c>
      <c r="D51" s="172" t="s">
        <v>213</v>
      </c>
      <c r="E51" s="111" t="s">
        <v>42</v>
      </c>
      <c r="F51" s="441">
        <v>8012039</v>
      </c>
      <c r="G51" s="477">
        <v>292</v>
      </c>
      <c r="H51" s="478" t="s">
        <v>228</v>
      </c>
      <c r="I51" s="284" t="s">
        <v>80</v>
      </c>
      <c r="J51" s="479" t="s">
        <v>251</v>
      </c>
      <c r="K51" s="480">
        <v>4684</v>
      </c>
      <c r="L51" s="480">
        <v>351</v>
      </c>
      <c r="M51" s="480"/>
      <c r="N51" s="370">
        <f t="shared" si="55"/>
        <v>2800</v>
      </c>
      <c r="O51" s="370"/>
      <c r="P51" s="370"/>
      <c r="Q51" s="370">
        <v>2800</v>
      </c>
      <c r="R51" s="370"/>
      <c r="S51" s="370">
        <f t="shared" si="56"/>
        <v>2800</v>
      </c>
      <c r="T51" s="370"/>
      <c r="U51" s="370"/>
      <c r="V51" s="370">
        <f>2800000000/1000000</f>
        <v>2800</v>
      </c>
      <c r="W51" s="117"/>
      <c r="X51" s="370">
        <f t="shared" si="57"/>
        <v>2800</v>
      </c>
      <c r="Y51" s="370"/>
      <c r="Z51" s="370"/>
      <c r="AA51" s="370">
        <v>2800</v>
      </c>
      <c r="AB51" s="370"/>
      <c r="AC51" s="370">
        <f t="shared" si="58"/>
        <v>2800</v>
      </c>
      <c r="AD51" s="370"/>
      <c r="AE51" s="370"/>
      <c r="AF51" s="370">
        <v>2800</v>
      </c>
      <c r="AG51" s="370"/>
      <c r="AH51" s="20"/>
    </row>
    <row r="52" spans="1:34" s="21" customFormat="1" ht="47.25">
      <c r="A52" s="473" t="s">
        <v>183</v>
      </c>
      <c r="B52" s="447" t="s">
        <v>188</v>
      </c>
      <c r="C52" s="441" t="s">
        <v>61</v>
      </c>
      <c r="D52" s="172" t="s">
        <v>213</v>
      </c>
      <c r="E52" s="111" t="s">
        <v>42</v>
      </c>
      <c r="F52" s="441">
        <v>8012037</v>
      </c>
      <c r="G52" s="477">
        <v>292</v>
      </c>
      <c r="H52" s="478" t="s">
        <v>229</v>
      </c>
      <c r="I52" s="284" t="s">
        <v>80</v>
      </c>
      <c r="J52" s="479" t="s">
        <v>252</v>
      </c>
      <c r="K52" s="480">
        <v>2202.2440000000001</v>
      </c>
      <c r="L52" s="480">
        <v>165</v>
      </c>
      <c r="M52" s="480"/>
      <c r="N52" s="370">
        <f t="shared" si="55"/>
        <v>1300</v>
      </c>
      <c r="O52" s="370"/>
      <c r="P52" s="370"/>
      <c r="Q52" s="370">
        <v>1300</v>
      </c>
      <c r="R52" s="370"/>
      <c r="S52" s="370">
        <f t="shared" si="56"/>
        <v>1300</v>
      </c>
      <c r="T52" s="370"/>
      <c r="U52" s="370"/>
      <c r="V52" s="370">
        <v>1300</v>
      </c>
      <c r="W52" s="117"/>
      <c r="X52" s="370">
        <f t="shared" si="57"/>
        <v>1300</v>
      </c>
      <c r="Y52" s="370"/>
      <c r="Z52" s="370"/>
      <c r="AA52" s="370">
        <v>1300</v>
      </c>
      <c r="AB52" s="370"/>
      <c r="AC52" s="370">
        <f t="shared" si="58"/>
        <v>1300</v>
      </c>
      <c r="AD52" s="370"/>
      <c r="AE52" s="370"/>
      <c r="AF52" s="370">
        <v>1300</v>
      </c>
      <c r="AG52" s="370"/>
      <c r="AH52" s="20"/>
    </row>
    <row r="53" spans="1:34" s="21" customFormat="1" ht="47.25">
      <c r="A53" s="473" t="s">
        <v>185</v>
      </c>
      <c r="B53" s="440" t="s">
        <v>190</v>
      </c>
      <c r="C53" s="441" t="s">
        <v>61</v>
      </c>
      <c r="D53" s="172" t="s">
        <v>213</v>
      </c>
      <c r="E53" s="111" t="s">
        <v>42</v>
      </c>
      <c r="F53" s="441">
        <v>8012042</v>
      </c>
      <c r="G53" s="477">
        <v>292</v>
      </c>
      <c r="H53" s="478" t="s">
        <v>230</v>
      </c>
      <c r="I53" s="284" t="s">
        <v>80</v>
      </c>
      <c r="J53" s="479" t="s">
        <v>253</v>
      </c>
      <c r="K53" s="480">
        <v>1142.3489999999999</v>
      </c>
      <c r="L53" s="480">
        <v>92</v>
      </c>
      <c r="M53" s="480"/>
      <c r="N53" s="370">
        <f t="shared" si="55"/>
        <v>680</v>
      </c>
      <c r="O53" s="370"/>
      <c r="P53" s="370"/>
      <c r="Q53" s="370">
        <v>680</v>
      </c>
      <c r="R53" s="370"/>
      <c r="S53" s="370">
        <f t="shared" si="56"/>
        <v>680</v>
      </c>
      <c r="T53" s="370"/>
      <c r="U53" s="370"/>
      <c r="V53" s="370">
        <v>680</v>
      </c>
      <c r="W53" s="117"/>
      <c r="X53" s="370">
        <f t="shared" si="57"/>
        <v>680</v>
      </c>
      <c r="Y53" s="370"/>
      <c r="Z53" s="370"/>
      <c r="AA53" s="370">
        <v>680</v>
      </c>
      <c r="AB53" s="370"/>
      <c r="AC53" s="370">
        <f t="shared" si="58"/>
        <v>680</v>
      </c>
      <c r="AD53" s="370"/>
      <c r="AE53" s="370"/>
      <c r="AF53" s="370">
        <v>680</v>
      </c>
      <c r="AG53" s="370"/>
      <c r="AH53" s="20"/>
    </row>
    <row r="54" spans="1:34" s="21" customFormat="1" ht="47.25">
      <c r="A54" s="473" t="s">
        <v>187</v>
      </c>
      <c r="B54" s="447" t="s">
        <v>192</v>
      </c>
      <c r="C54" s="441" t="s">
        <v>61</v>
      </c>
      <c r="D54" s="172" t="s">
        <v>213</v>
      </c>
      <c r="E54" s="111" t="s">
        <v>42</v>
      </c>
      <c r="F54" s="441">
        <v>8012038</v>
      </c>
      <c r="G54" s="477">
        <v>292</v>
      </c>
      <c r="H54" s="478" t="s">
        <v>231</v>
      </c>
      <c r="I54" s="284" t="s">
        <v>80</v>
      </c>
      <c r="J54" s="479" t="s">
        <v>254</v>
      </c>
      <c r="K54" s="480">
        <v>941.01300000000003</v>
      </c>
      <c r="L54" s="480">
        <v>70</v>
      </c>
      <c r="M54" s="480"/>
      <c r="N54" s="370">
        <f t="shared" si="55"/>
        <v>565</v>
      </c>
      <c r="O54" s="370"/>
      <c r="P54" s="370"/>
      <c r="Q54" s="370">
        <v>565</v>
      </c>
      <c r="R54" s="370"/>
      <c r="S54" s="370">
        <f t="shared" si="56"/>
        <v>565</v>
      </c>
      <c r="T54" s="370"/>
      <c r="U54" s="370"/>
      <c r="V54" s="370">
        <f>565000000/1000000</f>
        <v>565</v>
      </c>
      <c r="W54" s="117"/>
      <c r="X54" s="370">
        <f t="shared" si="57"/>
        <v>565</v>
      </c>
      <c r="Y54" s="370"/>
      <c r="Z54" s="370"/>
      <c r="AA54" s="370">
        <v>565</v>
      </c>
      <c r="AB54" s="370"/>
      <c r="AC54" s="370">
        <f t="shared" si="58"/>
        <v>565</v>
      </c>
      <c r="AD54" s="370"/>
      <c r="AE54" s="370"/>
      <c r="AF54" s="370">
        <v>565</v>
      </c>
      <c r="AG54" s="370"/>
      <c r="AH54" s="20"/>
    </row>
    <row r="55" spans="1:34" s="21" customFormat="1" ht="47.25">
      <c r="A55" s="473" t="s">
        <v>189</v>
      </c>
      <c r="B55" s="440" t="s">
        <v>194</v>
      </c>
      <c r="C55" s="441" t="s">
        <v>61</v>
      </c>
      <c r="D55" s="172" t="s">
        <v>213</v>
      </c>
      <c r="E55" s="111" t="s">
        <v>42</v>
      </c>
      <c r="F55" s="441">
        <v>8012036</v>
      </c>
      <c r="G55" s="477">
        <v>292</v>
      </c>
      <c r="H55" s="478" t="s">
        <v>232</v>
      </c>
      <c r="I55" s="284" t="s">
        <v>80</v>
      </c>
      <c r="J55" s="479" t="s">
        <v>255</v>
      </c>
      <c r="K55" s="480">
        <v>2467.2280000000001</v>
      </c>
      <c r="L55" s="480">
        <v>198</v>
      </c>
      <c r="M55" s="480"/>
      <c r="N55" s="370">
        <f t="shared" si="55"/>
        <v>1480</v>
      </c>
      <c r="O55" s="370"/>
      <c r="P55" s="370"/>
      <c r="Q55" s="370">
        <v>1480</v>
      </c>
      <c r="R55" s="370"/>
      <c r="S55" s="370">
        <f t="shared" si="56"/>
        <v>1480</v>
      </c>
      <c r="T55" s="370"/>
      <c r="U55" s="370"/>
      <c r="V55" s="370">
        <v>1480</v>
      </c>
      <c r="W55" s="117"/>
      <c r="X55" s="370">
        <f t="shared" si="57"/>
        <v>1480</v>
      </c>
      <c r="Y55" s="370"/>
      <c r="Z55" s="370"/>
      <c r="AA55" s="370">
        <v>1480</v>
      </c>
      <c r="AB55" s="370"/>
      <c r="AC55" s="370">
        <f t="shared" si="58"/>
        <v>1480</v>
      </c>
      <c r="AD55" s="370"/>
      <c r="AE55" s="370"/>
      <c r="AF55" s="370">
        <v>1480</v>
      </c>
      <c r="AG55" s="370"/>
      <c r="AH55" s="20"/>
    </row>
    <row r="56" spans="1:34" s="21" customFormat="1" ht="47.25">
      <c r="A56" s="473" t="s">
        <v>191</v>
      </c>
      <c r="B56" s="440" t="s">
        <v>196</v>
      </c>
      <c r="C56" s="441" t="s">
        <v>61</v>
      </c>
      <c r="D56" s="172" t="s">
        <v>213</v>
      </c>
      <c r="E56" s="111" t="s">
        <v>42</v>
      </c>
      <c r="F56" s="441">
        <v>8012050</v>
      </c>
      <c r="G56" s="477">
        <v>292</v>
      </c>
      <c r="H56" s="478" t="s">
        <v>233</v>
      </c>
      <c r="I56" s="284" t="s">
        <v>80</v>
      </c>
      <c r="J56" s="479" t="s">
        <v>256</v>
      </c>
      <c r="K56" s="480">
        <v>1299.886</v>
      </c>
      <c r="L56" s="480">
        <v>104</v>
      </c>
      <c r="M56" s="480"/>
      <c r="N56" s="370">
        <f t="shared" si="55"/>
        <v>780</v>
      </c>
      <c r="O56" s="370"/>
      <c r="P56" s="370"/>
      <c r="Q56" s="370">
        <v>780</v>
      </c>
      <c r="R56" s="370"/>
      <c r="S56" s="370">
        <f t="shared" si="56"/>
        <v>780</v>
      </c>
      <c r="T56" s="370"/>
      <c r="U56" s="370"/>
      <c r="V56" s="370">
        <v>780</v>
      </c>
      <c r="W56" s="117"/>
      <c r="X56" s="370">
        <f t="shared" si="57"/>
        <v>780</v>
      </c>
      <c r="Y56" s="370"/>
      <c r="Z56" s="370"/>
      <c r="AA56" s="370">
        <v>780</v>
      </c>
      <c r="AB56" s="370"/>
      <c r="AC56" s="370">
        <f t="shared" si="58"/>
        <v>780</v>
      </c>
      <c r="AD56" s="370"/>
      <c r="AE56" s="370"/>
      <c r="AF56" s="370">
        <v>780</v>
      </c>
      <c r="AG56" s="370"/>
      <c r="AH56" s="20"/>
    </row>
    <row r="57" spans="1:34" s="21" customFormat="1" ht="63">
      <c r="A57" s="473" t="s">
        <v>193</v>
      </c>
      <c r="B57" s="447" t="s">
        <v>198</v>
      </c>
      <c r="C57" s="441" t="s">
        <v>61</v>
      </c>
      <c r="D57" s="172" t="s">
        <v>213</v>
      </c>
      <c r="E57" s="111" t="s">
        <v>42</v>
      </c>
      <c r="F57" s="441">
        <v>8012047</v>
      </c>
      <c r="G57" s="477">
        <v>292</v>
      </c>
      <c r="H57" s="478" t="s">
        <v>234</v>
      </c>
      <c r="I57" s="284" t="s">
        <v>80</v>
      </c>
      <c r="J57" s="479" t="s">
        <v>257</v>
      </c>
      <c r="K57" s="480">
        <v>5370.7269999999999</v>
      </c>
      <c r="L57" s="480">
        <v>403</v>
      </c>
      <c r="M57" s="480"/>
      <c r="N57" s="370">
        <f t="shared" si="55"/>
        <v>3222</v>
      </c>
      <c r="O57" s="370"/>
      <c r="P57" s="370"/>
      <c r="Q57" s="370">
        <v>3222</v>
      </c>
      <c r="R57" s="370"/>
      <c r="S57" s="370">
        <f t="shared" si="56"/>
        <v>3222</v>
      </c>
      <c r="T57" s="370"/>
      <c r="U57" s="370"/>
      <c r="V57" s="370">
        <v>3222</v>
      </c>
      <c r="W57" s="117"/>
      <c r="X57" s="370">
        <f t="shared" si="57"/>
        <v>3222</v>
      </c>
      <c r="Y57" s="370"/>
      <c r="Z57" s="370"/>
      <c r="AA57" s="370">
        <v>3222</v>
      </c>
      <c r="AB57" s="370"/>
      <c r="AC57" s="370">
        <f t="shared" si="58"/>
        <v>3222</v>
      </c>
      <c r="AD57" s="370"/>
      <c r="AE57" s="370"/>
      <c r="AF57" s="370">
        <v>3222</v>
      </c>
      <c r="AG57" s="370"/>
      <c r="AH57" s="20"/>
    </row>
    <row r="58" spans="1:34" s="21" customFormat="1" ht="47.25">
      <c r="A58" s="473" t="s">
        <v>195</v>
      </c>
      <c r="B58" s="447" t="s">
        <v>199</v>
      </c>
      <c r="C58" s="441" t="s">
        <v>61</v>
      </c>
      <c r="D58" s="172" t="s">
        <v>213</v>
      </c>
      <c r="E58" s="111" t="s">
        <v>42</v>
      </c>
      <c r="F58" s="441">
        <v>8012034</v>
      </c>
      <c r="G58" s="477">
        <v>292</v>
      </c>
      <c r="H58" s="478" t="s">
        <v>235</v>
      </c>
      <c r="I58" s="284" t="s">
        <v>80</v>
      </c>
      <c r="J58" s="479" t="s">
        <v>258</v>
      </c>
      <c r="K58" s="480">
        <v>924.28</v>
      </c>
      <c r="L58" s="480">
        <v>69</v>
      </c>
      <c r="M58" s="480"/>
      <c r="N58" s="370">
        <f t="shared" si="55"/>
        <v>555</v>
      </c>
      <c r="O58" s="370"/>
      <c r="P58" s="370"/>
      <c r="Q58" s="370">
        <v>555</v>
      </c>
      <c r="R58" s="370"/>
      <c r="S58" s="370">
        <f t="shared" si="56"/>
        <v>555</v>
      </c>
      <c r="T58" s="370"/>
      <c r="U58" s="370"/>
      <c r="V58" s="370">
        <f>555000000/1000000</f>
        <v>555</v>
      </c>
      <c r="W58" s="117"/>
      <c r="X58" s="370">
        <f t="shared" si="57"/>
        <v>555</v>
      </c>
      <c r="Y58" s="370"/>
      <c r="Z58" s="370"/>
      <c r="AA58" s="370">
        <v>555</v>
      </c>
      <c r="AB58" s="370"/>
      <c r="AC58" s="370">
        <f t="shared" si="58"/>
        <v>555</v>
      </c>
      <c r="AD58" s="370"/>
      <c r="AE58" s="370"/>
      <c r="AF58" s="370">
        <v>555</v>
      </c>
      <c r="AG58" s="370"/>
      <c r="AH58" s="20"/>
    </row>
    <row r="59" spans="1:34" s="21" customFormat="1" ht="47.25">
      <c r="A59" s="473" t="s">
        <v>197</v>
      </c>
      <c r="B59" s="447" t="s">
        <v>200</v>
      </c>
      <c r="C59" s="441" t="s">
        <v>61</v>
      </c>
      <c r="D59" s="172" t="s">
        <v>213</v>
      </c>
      <c r="E59" s="111" t="s">
        <v>42</v>
      </c>
      <c r="F59" s="441">
        <v>8012032</v>
      </c>
      <c r="G59" s="477">
        <v>292</v>
      </c>
      <c r="H59" s="478" t="s">
        <v>236</v>
      </c>
      <c r="I59" s="284" t="s">
        <v>80</v>
      </c>
      <c r="J59" s="479" t="s">
        <v>259</v>
      </c>
      <c r="K59" s="480">
        <v>2455.6320000000001</v>
      </c>
      <c r="L59" s="480">
        <v>184</v>
      </c>
      <c r="M59" s="480"/>
      <c r="N59" s="370">
        <f t="shared" si="55"/>
        <v>1765</v>
      </c>
      <c r="O59" s="370"/>
      <c r="P59" s="370"/>
      <c r="Q59" s="370">
        <f>1965-200</f>
        <v>1765</v>
      </c>
      <c r="R59" s="370"/>
      <c r="S59" s="370">
        <f t="shared" si="56"/>
        <v>1650.588</v>
      </c>
      <c r="T59" s="370"/>
      <c r="U59" s="370"/>
      <c r="V59" s="370">
        <f>1650588000/1000000</f>
        <v>1650.588</v>
      </c>
      <c r="W59" s="117"/>
      <c r="X59" s="370">
        <f t="shared" si="57"/>
        <v>1765</v>
      </c>
      <c r="Y59" s="370"/>
      <c r="Z59" s="370"/>
      <c r="AA59" s="370">
        <f>1965-200</f>
        <v>1765</v>
      </c>
      <c r="AB59" s="370"/>
      <c r="AC59" s="370">
        <f t="shared" si="58"/>
        <v>1765</v>
      </c>
      <c r="AD59" s="370"/>
      <c r="AE59" s="370"/>
      <c r="AF59" s="370">
        <f>1965-200</f>
        <v>1765</v>
      </c>
      <c r="AG59" s="370"/>
      <c r="AH59" s="20"/>
    </row>
    <row r="60" spans="1:34" s="21" customFormat="1" ht="47.25">
      <c r="A60" s="473" t="s">
        <v>704</v>
      </c>
      <c r="B60" s="456" t="s">
        <v>201</v>
      </c>
      <c r="C60" s="457" t="s">
        <v>61</v>
      </c>
      <c r="D60" s="172" t="s">
        <v>213</v>
      </c>
      <c r="E60" s="111" t="s">
        <v>42</v>
      </c>
      <c r="F60" s="457">
        <v>8012049</v>
      </c>
      <c r="G60" s="481">
        <v>292</v>
      </c>
      <c r="H60" s="482" t="s">
        <v>237</v>
      </c>
      <c r="I60" s="460" t="s">
        <v>80</v>
      </c>
      <c r="J60" s="459" t="s">
        <v>260</v>
      </c>
      <c r="K60" s="462">
        <v>1351.068</v>
      </c>
      <c r="L60" s="462">
        <v>101</v>
      </c>
      <c r="M60" s="462"/>
      <c r="N60" s="463">
        <f t="shared" si="55"/>
        <v>1080</v>
      </c>
      <c r="O60" s="463"/>
      <c r="P60" s="463"/>
      <c r="Q60" s="463">
        <v>1080</v>
      </c>
      <c r="R60" s="463"/>
      <c r="S60" s="463">
        <f t="shared" si="56"/>
        <v>1080</v>
      </c>
      <c r="T60" s="463"/>
      <c r="U60" s="463"/>
      <c r="V60" s="463">
        <f>1080000000/1000000</f>
        <v>1080</v>
      </c>
      <c r="W60" s="117"/>
      <c r="X60" s="463">
        <f t="shared" si="57"/>
        <v>1080</v>
      </c>
      <c r="Y60" s="463"/>
      <c r="Z60" s="463"/>
      <c r="AA60" s="463">
        <v>1080</v>
      </c>
      <c r="AB60" s="463"/>
      <c r="AC60" s="463">
        <f t="shared" si="58"/>
        <v>1080</v>
      </c>
      <c r="AD60" s="463"/>
      <c r="AE60" s="463"/>
      <c r="AF60" s="463">
        <v>1080</v>
      </c>
      <c r="AG60" s="463"/>
      <c r="AH60" s="20"/>
    </row>
    <row r="61" spans="1:34" s="139" customFormat="1">
      <c r="A61" s="404"/>
      <c r="B61" s="405" t="s">
        <v>202</v>
      </c>
      <c r="C61" s="149"/>
      <c r="D61" s="406"/>
      <c r="E61" s="298"/>
      <c r="F61" s="405"/>
      <c r="G61" s="407"/>
      <c r="H61" s="406"/>
      <c r="I61" s="408"/>
      <c r="J61" s="406"/>
      <c r="K61" s="242">
        <f>SUM(K62:K64)</f>
        <v>29827</v>
      </c>
      <c r="L61" s="242">
        <f t="shared" ref="L61:AH61" si="59">SUM(L62:L63)</f>
        <v>675</v>
      </c>
      <c r="M61" s="242">
        <f t="shared" si="59"/>
        <v>0</v>
      </c>
      <c r="N61" s="636">
        <f>SUM(N62:N64)</f>
        <v>16901.491999999998</v>
      </c>
      <c r="O61" s="636">
        <f t="shared" ref="O61:V61" si="60">SUM(O62:O64)</f>
        <v>0</v>
      </c>
      <c r="P61" s="636">
        <f t="shared" si="60"/>
        <v>0</v>
      </c>
      <c r="Q61" s="635">
        <f>SUM(Q62:Q64)</f>
        <v>16901.491999999998</v>
      </c>
      <c r="R61" s="635">
        <f t="shared" si="60"/>
        <v>0</v>
      </c>
      <c r="S61" s="635">
        <f t="shared" si="60"/>
        <v>14089.302</v>
      </c>
      <c r="T61" s="635">
        <f t="shared" si="60"/>
        <v>0</v>
      </c>
      <c r="U61" s="635">
        <f t="shared" si="60"/>
        <v>0</v>
      </c>
      <c r="V61" s="635">
        <f t="shared" si="60"/>
        <v>14089.302</v>
      </c>
      <c r="W61" s="242">
        <f t="shared" ref="W61" si="61">SUM(W62:W64)</f>
        <v>0</v>
      </c>
      <c r="X61" s="636">
        <f>SUM(X62:X64)</f>
        <v>16901.491999999998</v>
      </c>
      <c r="Y61" s="636">
        <f t="shared" ref="Y61:Z61" si="62">SUM(Y62:Y64)</f>
        <v>0</v>
      </c>
      <c r="Z61" s="636">
        <f t="shared" si="62"/>
        <v>0</v>
      </c>
      <c r="AA61" s="635">
        <f>SUM(AA62:AA64)</f>
        <v>16901.491999999998</v>
      </c>
      <c r="AB61" s="635">
        <f t="shared" ref="AB61" si="63">SUM(AB62:AB64)</f>
        <v>0</v>
      </c>
      <c r="AC61" s="636">
        <f>SUM(AC62:AC64)</f>
        <v>16901.491999999998</v>
      </c>
      <c r="AD61" s="636">
        <f t="shared" ref="AD61:AE61" si="64">SUM(AD62:AD64)</f>
        <v>0</v>
      </c>
      <c r="AE61" s="636">
        <f t="shared" si="64"/>
        <v>0</v>
      </c>
      <c r="AF61" s="635">
        <f>SUM(AF62:AF64)</f>
        <v>16901.491999999998</v>
      </c>
      <c r="AG61" s="635">
        <f t="shared" ref="AG61" si="65">SUM(AG62:AG64)</f>
        <v>0</v>
      </c>
      <c r="AH61" s="242">
        <f t="shared" si="59"/>
        <v>0</v>
      </c>
    </row>
    <row r="62" spans="1:34" s="21" customFormat="1" ht="49.5">
      <c r="A62" s="483">
        <v>1</v>
      </c>
      <c r="B62" s="484" t="s">
        <v>203</v>
      </c>
      <c r="C62" s="485" t="s">
        <v>61</v>
      </c>
      <c r="D62" s="486" t="s">
        <v>213</v>
      </c>
      <c r="E62" s="486" t="s">
        <v>42</v>
      </c>
      <c r="F62" s="487">
        <v>8012052</v>
      </c>
      <c r="G62" s="488">
        <v>72</v>
      </c>
      <c r="H62" s="489" t="s">
        <v>238</v>
      </c>
      <c r="I62" s="490" t="s">
        <v>80</v>
      </c>
      <c r="J62" s="491" t="s">
        <v>261</v>
      </c>
      <c r="K62" s="492">
        <v>7340</v>
      </c>
      <c r="L62" s="493">
        <v>310</v>
      </c>
      <c r="M62" s="146"/>
      <c r="N62" s="369">
        <f>SUM(O62:R62)</f>
        <v>3747.4810000000002</v>
      </c>
      <c r="O62" s="369"/>
      <c r="P62" s="369"/>
      <c r="Q62" s="369">
        <f>3747481000/1000000</f>
        <v>3747.4810000000002</v>
      </c>
      <c r="R62" s="369"/>
      <c r="S62" s="369">
        <f>SUM(T62:W62)</f>
        <v>3747.4810000000002</v>
      </c>
      <c r="T62" s="369"/>
      <c r="U62" s="369"/>
      <c r="V62" s="369">
        <f>3747481000/1000000</f>
        <v>3747.4810000000002</v>
      </c>
      <c r="W62" s="137"/>
      <c r="X62" s="369">
        <f>SUM(Y62:AB62)</f>
        <v>3747.4810000000002</v>
      </c>
      <c r="Y62" s="369"/>
      <c r="Z62" s="369"/>
      <c r="AA62" s="369">
        <f>3747481000/1000000</f>
        <v>3747.4810000000002</v>
      </c>
      <c r="AB62" s="369"/>
      <c r="AC62" s="369">
        <f>SUM(AD62:AG62)</f>
        <v>3747.4810000000002</v>
      </c>
      <c r="AD62" s="369"/>
      <c r="AE62" s="369"/>
      <c r="AF62" s="369">
        <f>3747481000/1000000</f>
        <v>3747.4810000000002</v>
      </c>
      <c r="AG62" s="369"/>
      <c r="AH62" s="20"/>
    </row>
    <row r="63" spans="1:34" s="21" customFormat="1" ht="49.5">
      <c r="A63" s="483">
        <v>2</v>
      </c>
      <c r="B63" s="609" t="s">
        <v>622</v>
      </c>
      <c r="C63" s="485" t="s">
        <v>61</v>
      </c>
      <c r="D63" s="486" t="s">
        <v>213</v>
      </c>
      <c r="E63" s="486" t="s">
        <v>42</v>
      </c>
      <c r="F63" s="610">
        <v>8078552</v>
      </c>
      <c r="G63" s="611">
        <v>72</v>
      </c>
      <c r="H63" s="411" t="s">
        <v>270</v>
      </c>
      <c r="I63" s="612" t="s">
        <v>80</v>
      </c>
      <c r="J63" s="613" t="s">
        <v>623</v>
      </c>
      <c r="K63" s="614">
        <v>14987</v>
      </c>
      <c r="L63" s="614">
        <v>365</v>
      </c>
      <c r="M63" s="164"/>
      <c r="N63" s="369">
        <f>SUM(O63:R63)</f>
        <v>8442</v>
      </c>
      <c r="O63" s="369"/>
      <c r="P63" s="369"/>
      <c r="Q63" s="369">
        <v>8442</v>
      </c>
      <c r="R63" s="369"/>
      <c r="S63" s="369">
        <f>SUM(T63:W63)</f>
        <v>7086.6419999999998</v>
      </c>
      <c r="T63" s="369"/>
      <c r="U63" s="369"/>
      <c r="V63" s="369">
        <f>7086642000/1000000</f>
        <v>7086.6419999999998</v>
      </c>
      <c r="W63" s="499"/>
      <c r="X63" s="369">
        <f>SUM(Y63:AB63)</f>
        <v>8442</v>
      </c>
      <c r="Y63" s="369"/>
      <c r="Z63" s="369"/>
      <c r="AA63" s="369">
        <v>8442</v>
      </c>
      <c r="AB63" s="369"/>
      <c r="AC63" s="369">
        <f>SUM(AD63:AG63)</f>
        <v>8442</v>
      </c>
      <c r="AD63" s="369"/>
      <c r="AE63" s="369"/>
      <c r="AF63" s="369">
        <v>8442</v>
      </c>
      <c r="AG63" s="369"/>
      <c r="AH63" s="20"/>
    </row>
    <row r="64" spans="1:34" s="21" customFormat="1" ht="49.5">
      <c r="A64" s="483">
        <v>3</v>
      </c>
      <c r="B64" s="609" t="s">
        <v>269</v>
      </c>
      <c r="C64" s="485" t="s">
        <v>61</v>
      </c>
      <c r="D64" s="486" t="s">
        <v>213</v>
      </c>
      <c r="E64" s="486" t="s">
        <v>42</v>
      </c>
      <c r="F64" s="610">
        <v>807599</v>
      </c>
      <c r="G64" s="611">
        <v>71</v>
      </c>
      <c r="H64" s="411" t="s">
        <v>270</v>
      </c>
      <c r="I64" s="612" t="s">
        <v>80</v>
      </c>
      <c r="J64" s="613" t="s">
        <v>271</v>
      </c>
      <c r="K64" s="614">
        <v>7500</v>
      </c>
      <c r="L64" s="614">
        <v>96</v>
      </c>
      <c r="M64" s="146"/>
      <c r="N64" s="370">
        <f>SUM(O64:R64)</f>
        <v>4712.0110000000004</v>
      </c>
      <c r="O64" s="370"/>
      <c r="P64" s="370"/>
      <c r="Q64" s="370">
        <f>4712011000/1000000</f>
        <v>4712.0110000000004</v>
      </c>
      <c r="R64" s="370"/>
      <c r="S64" s="370">
        <f>SUM(T64:W64)</f>
        <v>3255.1790000000001</v>
      </c>
      <c r="T64" s="370"/>
      <c r="U64" s="370"/>
      <c r="V64" s="370">
        <f>3255179000/1000000</f>
        <v>3255.1790000000001</v>
      </c>
      <c r="W64" s="100"/>
      <c r="X64" s="370">
        <f>SUM(Y64:AB64)</f>
        <v>4712.0110000000004</v>
      </c>
      <c r="Y64" s="370"/>
      <c r="Z64" s="370"/>
      <c r="AA64" s="370">
        <f>4712011000/1000000</f>
        <v>4712.0110000000004</v>
      </c>
      <c r="AB64" s="370"/>
      <c r="AC64" s="370">
        <f>SUM(AD64:AG64)</f>
        <v>4712.0110000000004</v>
      </c>
      <c r="AD64" s="370"/>
      <c r="AE64" s="370"/>
      <c r="AF64" s="370">
        <f>4712011000/1000000</f>
        <v>4712.0110000000004</v>
      </c>
      <c r="AG64" s="370"/>
      <c r="AH64" s="20"/>
    </row>
    <row r="65" spans="1:34" s="139" customFormat="1">
      <c r="A65" s="409"/>
      <c r="B65" s="405" t="s">
        <v>268</v>
      </c>
      <c r="C65" s="149"/>
      <c r="D65" s="406"/>
      <c r="E65" s="298"/>
      <c r="F65" s="405"/>
      <c r="G65" s="410"/>
      <c r="H65" s="406"/>
      <c r="I65" s="411"/>
      <c r="J65" s="406"/>
      <c r="K65" s="242">
        <f>SUM(K66:K68)</f>
        <v>6388</v>
      </c>
      <c r="L65" s="242">
        <f t="shared" ref="L65:AH65" si="66">SUM(L66:L68)</f>
        <v>76</v>
      </c>
      <c r="M65" s="242">
        <f t="shared" si="66"/>
        <v>0</v>
      </c>
      <c r="N65" s="636">
        <f>SUM(N66:N68)</f>
        <v>5200</v>
      </c>
      <c r="O65" s="636">
        <f t="shared" ref="O65:U65" si="67">SUM(O66:O68)</f>
        <v>0</v>
      </c>
      <c r="P65" s="636">
        <f t="shared" si="67"/>
        <v>0</v>
      </c>
      <c r="Q65" s="636">
        <f>SUM(Q66:Q68)</f>
        <v>5200</v>
      </c>
      <c r="R65" s="636">
        <f t="shared" si="67"/>
        <v>0</v>
      </c>
      <c r="S65" s="636">
        <f t="shared" si="67"/>
        <v>3669.011</v>
      </c>
      <c r="T65" s="636">
        <f t="shared" si="67"/>
        <v>0</v>
      </c>
      <c r="U65" s="636">
        <f t="shared" si="67"/>
        <v>0</v>
      </c>
      <c r="V65" s="636">
        <f>SUM(V66:V68)</f>
        <v>3669.011</v>
      </c>
      <c r="W65" s="242">
        <f t="shared" si="66"/>
        <v>0</v>
      </c>
      <c r="X65" s="636">
        <f>SUM(X66:X68)</f>
        <v>5200</v>
      </c>
      <c r="Y65" s="636">
        <f t="shared" ref="Y65:Z65" si="68">SUM(Y66:Y68)</f>
        <v>0</v>
      </c>
      <c r="Z65" s="636">
        <f t="shared" si="68"/>
        <v>0</v>
      </c>
      <c r="AA65" s="636">
        <f>SUM(AA66:AA68)</f>
        <v>5200</v>
      </c>
      <c r="AB65" s="636">
        <f t="shared" ref="AB65" si="69">SUM(AB66:AB68)</f>
        <v>0</v>
      </c>
      <c r="AC65" s="636">
        <f>SUM(AC66:AC68)</f>
        <v>5200</v>
      </c>
      <c r="AD65" s="636">
        <f t="shared" ref="AD65:AE65" si="70">SUM(AD66:AD68)</f>
        <v>0</v>
      </c>
      <c r="AE65" s="636">
        <f t="shared" si="70"/>
        <v>0</v>
      </c>
      <c r="AF65" s="636">
        <f>SUM(AF66:AF68)</f>
        <v>5200</v>
      </c>
      <c r="AG65" s="636">
        <f t="shared" ref="AG65" si="71">SUM(AG66:AG68)</f>
        <v>0</v>
      </c>
      <c r="AH65" s="242">
        <f t="shared" si="66"/>
        <v>0</v>
      </c>
    </row>
    <row r="66" spans="1:34" s="182" customFormat="1" ht="66">
      <c r="A66" s="615" t="s">
        <v>167</v>
      </c>
      <c r="B66" s="609" t="s">
        <v>204</v>
      </c>
      <c r="C66" s="149" t="s">
        <v>61</v>
      </c>
      <c r="D66" s="298" t="s">
        <v>213</v>
      </c>
      <c r="E66" s="298" t="s">
        <v>42</v>
      </c>
      <c r="F66" s="610" t="s">
        <v>214</v>
      </c>
      <c r="G66" s="611">
        <v>161</v>
      </c>
      <c r="H66" s="411" t="s">
        <v>239</v>
      </c>
      <c r="I66" s="612" t="s">
        <v>80</v>
      </c>
      <c r="J66" s="613" t="s">
        <v>262</v>
      </c>
      <c r="K66" s="608">
        <v>5000</v>
      </c>
      <c r="L66" s="608">
        <v>73</v>
      </c>
      <c r="M66" s="146"/>
      <c r="N66" s="370">
        <f>SUM(O66:R66)</f>
        <v>4300</v>
      </c>
      <c r="O66" s="370"/>
      <c r="P66" s="370"/>
      <c r="Q66" s="370">
        <v>4300</v>
      </c>
      <c r="R66" s="370"/>
      <c r="S66" s="370">
        <f>SUM(T66:W66)</f>
        <v>2769.011</v>
      </c>
      <c r="T66" s="370"/>
      <c r="U66" s="370"/>
      <c r="V66" s="370">
        <f>2769011000/1000000</f>
        <v>2769.011</v>
      </c>
      <c r="W66" s="137"/>
      <c r="X66" s="370">
        <f>SUM(Y66:AB66)</f>
        <v>4300</v>
      </c>
      <c r="Y66" s="370"/>
      <c r="Z66" s="370"/>
      <c r="AA66" s="370">
        <v>4300</v>
      </c>
      <c r="AB66" s="370"/>
      <c r="AC66" s="370">
        <f>SUM(AD66:AG66)</f>
        <v>4300</v>
      </c>
      <c r="AD66" s="370"/>
      <c r="AE66" s="370"/>
      <c r="AF66" s="370">
        <v>4300</v>
      </c>
      <c r="AG66" s="370"/>
      <c r="AH66" s="181"/>
    </row>
    <row r="67" spans="1:34" s="182" customFormat="1" ht="66">
      <c r="A67" s="615" t="s">
        <v>169</v>
      </c>
      <c r="B67" s="609" t="s">
        <v>205</v>
      </c>
      <c r="C67" s="149" t="s">
        <v>61</v>
      </c>
      <c r="D67" s="298" t="s">
        <v>213</v>
      </c>
      <c r="E67" s="298" t="s">
        <v>42</v>
      </c>
      <c r="F67" s="610" t="s">
        <v>215</v>
      </c>
      <c r="G67" s="611">
        <v>161</v>
      </c>
      <c r="H67" s="411" t="s">
        <v>240</v>
      </c>
      <c r="I67" s="612" t="s">
        <v>80</v>
      </c>
      <c r="J67" s="613" t="s">
        <v>263</v>
      </c>
      <c r="K67" s="608">
        <v>688</v>
      </c>
      <c r="L67" s="608"/>
      <c r="M67" s="146"/>
      <c r="N67" s="370">
        <f>SUM(O67:R67)</f>
        <v>450</v>
      </c>
      <c r="O67" s="370"/>
      <c r="P67" s="370"/>
      <c r="Q67" s="370">
        <v>450</v>
      </c>
      <c r="R67" s="370"/>
      <c r="S67" s="370">
        <f>SUM(T67:W67)</f>
        <v>450</v>
      </c>
      <c r="T67" s="370"/>
      <c r="U67" s="370"/>
      <c r="V67" s="370">
        <v>450</v>
      </c>
      <c r="W67" s="137"/>
      <c r="X67" s="370">
        <f>SUM(Y67:AB67)</f>
        <v>450</v>
      </c>
      <c r="Y67" s="370"/>
      <c r="Z67" s="370"/>
      <c r="AA67" s="370">
        <v>450</v>
      </c>
      <c r="AB67" s="370"/>
      <c r="AC67" s="370">
        <f>SUM(AD67:AG67)</f>
        <v>450</v>
      </c>
      <c r="AD67" s="370"/>
      <c r="AE67" s="370"/>
      <c r="AF67" s="370">
        <v>450</v>
      </c>
      <c r="AG67" s="370"/>
      <c r="AH67" s="181"/>
    </row>
    <row r="68" spans="1:34" s="182" customFormat="1" ht="66">
      <c r="A68" s="615" t="s">
        <v>171</v>
      </c>
      <c r="B68" s="609" t="s">
        <v>206</v>
      </c>
      <c r="C68" s="149" t="s">
        <v>61</v>
      </c>
      <c r="D68" s="298" t="s">
        <v>213</v>
      </c>
      <c r="E68" s="298" t="s">
        <v>42</v>
      </c>
      <c r="F68" s="610" t="s">
        <v>216</v>
      </c>
      <c r="G68" s="611">
        <v>161</v>
      </c>
      <c r="H68" s="411" t="s">
        <v>240</v>
      </c>
      <c r="I68" s="612" t="s">
        <v>80</v>
      </c>
      <c r="J68" s="613" t="s">
        <v>264</v>
      </c>
      <c r="K68" s="608">
        <v>700</v>
      </c>
      <c r="L68" s="608">
        <v>3</v>
      </c>
      <c r="M68" s="146"/>
      <c r="N68" s="463">
        <f>SUM(O68:R68)</f>
        <v>450</v>
      </c>
      <c r="O68" s="463"/>
      <c r="P68" s="463"/>
      <c r="Q68" s="463">
        <v>450</v>
      </c>
      <c r="R68" s="463"/>
      <c r="S68" s="463">
        <f>SUM(T68:W68)</f>
        <v>450</v>
      </c>
      <c r="T68" s="463"/>
      <c r="U68" s="463"/>
      <c r="V68" s="463">
        <f>450000000/1000000</f>
        <v>450</v>
      </c>
      <c r="W68" s="137"/>
      <c r="X68" s="463">
        <f>SUM(Y68:AB68)</f>
        <v>450</v>
      </c>
      <c r="Y68" s="463"/>
      <c r="Z68" s="463"/>
      <c r="AA68" s="463">
        <v>450</v>
      </c>
      <c r="AB68" s="463"/>
      <c r="AC68" s="463">
        <f>SUM(AD68:AG68)</f>
        <v>450</v>
      </c>
      <c r="AD68" s="463"/>
      <c r="AE68" s="463"/>
      <c r="AF68" s="463">
        <v>450</v>
      </c>
      <c r="AG68" s="463"/>
      <c r="AH68" s="181"/>
    </row>
    <row r="69" spans="1:34">
      <c r="A69" s="207"/>
      <c r="B69" s="206" t="s">
        <v>131</v>
      </c>
      <c r="C69" s="109"/>
      <c r="D69" s="214"/>
      <c r="E69" s="111"/>
      <c r="F69" s="206"/>
      <c r="G69" s="215"/>
      <c r="H69" s="214"/>
      <c r="I69" s="112"/>
      <c r="J69" s="214"/>
      <c r="K69" s="217">
        <f>K70</f>
        <v>857</v>
      </c>
      <c r="L69" s="217">
        <f t="shared" ref="L69:W69" si="72">L70</f>
        <v>40</v>
      </c>
      <c r="M69" s="217">
        <f t="shared" si="72"/>
        <v>0</v>
      </c>
      <c r="N69" s="636">
        <f>N70</f>
        <v>771.59100000000001</v>
      </c>
      <c r="O69" s="636">
        <f t="shared" ref="O69:V69" si="73">O70</f>
        <v>0</v>
      </c>
      <c r="P69" s="636">
        <f t="shared" si="73"/>
        <v>0</v>
      </c>
      <c r="Q69" s="636">
        <f t="shared" si="73"/>
        <v>771.59100000000001</v>
      </c>
      <c r="R69" s="636">
        <f t="shared" si="73"/>
        <v>0</v>
      </c>
      <c r="S69" s="636">
        <f t="shared" si="73"/>
        <v>771.59100000000001</v>
      </c>
      <c r="T69" s="636">
        <f t="shared" si="73"/>
        <v>0</v>
      </c>
      <c r="U69" s="636">
        <f t="shared" si="73"/>
        <v>0</v>
      </c>
      <c r="V69" s="636">
        <f t="shared" si="73"/>
        <v>771.59100000000001</v>
      </c>
      <c r="W69" s="217">
        <f t="shared" si="72"/>
        <v>0</v>
      </c>
      <c r="X69" s="636">
        <f>X70</f>
        <v>771.59100000000001</v>
      </c>
      <c r="Y69" s="636">
        <f t="shared" ref="Y69:AG69" si="74">Y70</f>
        <v>0</v>
      </c>
      <c r="Z69" s="636">
        <f t="shared" si="74"/>
        <v>0</v>
      </c>
      <c r="AA69" s="636">
        <f t="shared" si="74"/>
        <v>771.59100000000001</v>
      </c>
      <c r="AB69" s="636">
        <f t="shared" si="74"/>
        <v>0</v>
      </c>
      <c r="AC69" s="636">
        <f>AC70</f>
        <v>771.59100000000001</v>
      </c>
      <c r="AD69" s="636">
        <f t="shared" si="74"/>
        <v>0</v>
      </c>
      <c r="AE69" s="636">
        <f t="shared" si="74"/>
        <v>0</v>
      </c>
      <c r="AF69" s="636">
        <f t="shared" si="74"/>
        <v>771.59100000000001</v>
      </c>
      <c r="AG69" s="636">
        <f t="shared" si="74"/>
        <v>0</v>
      </c>
      <c r="AH69" s="3"/>
    </row>
    <row r="70" spans="1:34" s="182" customFormat="1" ht="66">
      <c r="A70" s="615" t="s">
        <v>167</v>
      </c>
      <c r="B70" s="609" t="s">
        <v>207</v>
      </c>
      <c r="C70" s="149" t="s">
        <v>61</v>
      </c>
      <c r="D70" s="298" t="s">
        <v>213</v>
      </c>
      <c r="E70" s="298" t="s">
        <v>42</v>
      </c>
      <c r="F70" s="610" t="s">
        <v>217</v>
      </c>
      <c r="G70" s="611">
        <v>132</v>
      </c>
      <c r="H70" s="411" t="s">
        <v>132</v>
      </c>
      <c r="I70" s="612" t="s">
        <v>80</v>
      </c>
      <c r="J70" s="613" t="s">
        <v>265</v>
      </c>
      <c r="K70" s="608">
        <v>857</v>
      </c>
      <c r="L70" s="608">
        <v>40</v>
      </c>
      <c r="M70" s="146"/>
      <c r="N70" s="592">
        <f>SUM(O70:R70)</f>
        <v>771.59100000000001</v>
      </c>
      <c r="O70" s="637"/>
      <c r="P70" s="637"/>
      <c r="Q70" s="638">
        <v>771.59100000000001</v>
      </c>
      <c r="R70" s="637"/>
      <c r="S70" s="592">
        <f>SUM(T70:W70)</f>
        <v>771.59100000000001</v>
      </c>
      <c r="T70" s="639"/>
      <c r="U70" s="639"/>
      <c r="V70" s="639">
        <f>771591000/1000000</f>
        <v>771.59100000000001</v>
      </c>
      <c r="W70" s="137"/>
      <c r="X70" s="592">
        <f>SUM(Y70:AB70)</f>
        <v>771.59100000000001</v>
      </c>
      <c r="Y70" s="637"/>
      <c r="Z70" s="637"/>
      <c r="AA70" s="638">
        <v>771.59100000000001</v>
      </c>
      <c r="AB70" s="637"/>
      <c r="AC70" s="592">
        <f>SUM(AD70:AG70)</f>
        <v>771.59100000000001</v>
      </c>
      <c r="AD70" s="637"/>
      <c r="AE70" s="637"/>
      <c r="AF70" s="638">
        <v>771.59100000000001</v>
      </c>
      <c r="AG70" s="637"/>
      <c r="AH70" s="181"/>
    </row>
    <row r="71" spans="1:34">
      <c r="A71" s="207"/>
      <c r="B71" s="206" t="s">
        <v>208</v>
      </c>
      <c r="C71" s="109"/>
      <c r="D71" s="214"/>
      <c r="E71" s="111"/>
      <c r="F71" s="206"/>
      <c r="G71" s="215"/>
      <c r="H71" s="214"/>
      <c r="I71" s="112"/>
      <c r="J71" s="214"/>
      <c r="K71" s="217">
        <f>K72</f>
        <v>505</v>
      </c>
      <c r="L71" s="217">
        <f t="shared" ref="L71:W71" si="75">L72</f>
        <v>0</v>
      </c>
      <c r="M71" s="217">
        <f t="shared" si="75"/>
        <v>0</v>
      </c>
      <c r="N71" s="636">
        <f>N72</f>
        <v>400</v>
      </c>
      <c r="O71" s="636">
        <f t="shared" ref="O71:V71" si="76">O72</f>
        <v>0</v>
      </c>
      <c r="P71" s="636">
        <f t="shared" si="76"/>
        <v>0</v>
      </c>
      <c r="Q71" s="636">
        <f t="shared" si="76"/>
        <v>400</v>
      </c>
      <c r="R71" s="636">
        <f t="shared" si="76"/>
        <v>0</v>
      </c>
      <c r="S71" s="636">
        <f t="shared" si="76"/>
        <v>400</v>
      </c>
      <c r="T71" s="636">
        <f t="shared" si="76"/>
        <v>0</v>
      </c>
      <c r="U71" s="636">
        <f t="shared" si="76"/>
        <v>0</v>
      </c>
      <c r="V71" s="636">
        <f t="shared" si="76"/>
        <v>400</v>
      </c>
      <c r="W71" s="217">
        <f t="shared" si="75"/>
        <v>0</v>
      </c>
      <c r="X71" s="636">
        <f>X72</f>
        <v>400</v>
      </c>
      <c r="Y71" s="636">
        <f t="shared" ref="Y71:AG71" si="77">Y72</f>
        <v>0</v>
      </c>
      <c r="Z71" s="636">
        <f t="shared" si="77"/>
        <v>0</v>
      </c>
      <c r="AA71" s="636">
        <f t="shared" si="77"/>
        <v>400</v>
      </c>
      <c r="AB71" s="636">
        <f t="shared" si="77"/>
        <v>0</v>
      </c>
      <c r="AC71" s="636">
        <f>AC72</f>
        <v>400</v>
      </c>
      <c r="AD71" s="636">
        <f t="shared" si="77"/>
        <v>0</v>
      </c>
      <c r="AE71" s="636">
        <f t="shared" si="77"/>
        <v>0</v>
      </c>
      <c r="AF71" s="636">
        <f t="shared" si="77"/>
        <v>400</v>
      </c>
      <c r="AG71" s="636">
        <f t="shared" si="77"/>
        <v>0</v>
      </c>
      <c r="AH71" s="3"/>
    </row>
    <row r="72" spans="1:34" s="182" customFormat="1" ht="66">
      <c r="A72" s="615" t="s">
        <v>167</v>
      </c>
      <c r="B72" s="609" t="s">
        <v>209</v>
      </c>
      <c r="C72" s="149" t="s">
        <v>61</v>
      </c>
      <c r="D72" s="298" t="s">
        <v>213</v>
      </c>
      <c r="E72" s="298" t="s">
        <v>42</v>
      </c>
      <c r="F72" s="610" t="s">
        <v>218</v>
      </c>
      <c r="G72" s="611">
        <v>321</v>
      </c>
      <c r="H72" s="411" t="s">
        <v>132</v>
      </c>
      <c r="I72" s="612" t="s">
        <v>80</v>
      </c>
      <c r="J72" s="613" t="s">
        <v>266</v>
      </c>
      <c r="K72" s="608">
        <v>505</v>
      </c>
      <c r="L72" s="608"/>
      <c r="M72" s="146"/>
      <c r="N72" s="641">
        <f>SUM(O72:R72)</f>
        <v>400</v>
      </c>
      <c r="O72" s="640"/>
      <c r="P72" s="640"/>
      <c r="Q72" s="642">
        <v>400</v>
      </c>
      <c r="R72" s="640"/>
      <c r="S72" s="641">
        <f>SUM(T72:W72)</f>
        <v>400</v>
      </c>
      <c r="T72" s="643"/>
      <c r="U72" s="643"/>
      <c r="V72" s="644">
        <v>400</v>
      </c>
      <c r="W72" s="137"/>
      <c r="X72" s="641">
        <f>SUM(Y72:AB72)</f>
        <v>400</v>
      </c>
      <c r="Y72" s="640"/>
      <c r="Z72" s="640"/>
      <c r="AA72" s="642">
        <v>400</v>
      </c>
      <c r="AB72" s="640"/>
      <c r="AC72" s="641">
        <f>SUM(AD72:AG72)</f>
        <v>400</v>
      </c>
      <c r="AD72" s="640"/>
      <c r="AE72" s="640"/>
      <c r="AF72" s="642">
        <v>400</v>
      </c>
      <c r="AG72" s="640"/>
      <c r="AH72" s="181"/>
    </row>
    <row r="73" spans="1:34">
      <c r="A73" s="413" t="s">
        <v>10</v>
      </c>
      <c r="B73" s="208" t="s">
        <v>210</v>
      </c>
      <c r="C73" s="212"/>
      <c r="D73" s="212"/>
      <c r="E73" s="212"/>
      <c r="F73" s="212"/>
      <c r="G73" s="212"/>
      <c r="H73" s="212"/>
      <c r="I73" s="212"/>
      <c r="J73" s="212"/>
      <c r="K73" s="216">
        <f>K74</f>
        <v>25305</v>
      </c>
      <c r="L73" s="216">
        <f t="shared" ref="L73:AG73" si="78">L74</f>
        <v>1406</v>
      </c>
      <c r="M73" s="216">
        <f t="shared" si="78"/>
        <v>0</v>
      </c>
      <c r="N73" s="216">
        <f t="shared" si="78"/>
        <v>6678.2440000000006</v>
      </c>
      <c r="O73" s="216">
        <f t="shared" si="78"/>
        <v>0</v>
      </c>
      <c r="P73" s="241">
        <f t="shared" si="78"/>
        <v>0</v>
      </c>
      <c r="Q73" s="216">
        <f t="shared" si="78"/>
        <v>6678.2440000000006</v>
      </c>
      <c r="R73" s="216">
        <f t="shared" si="78"/>
        <v>0</v>
      </c>
      <c r="S73" s="216">
        <f t="shared" si="78"/>
        <v>6678.2440000000006</v>
      </c>
      <c r="T73" s="216">
        <f t="shared" si="78"/>
        <v>0</v>
      </c>
      <c r="U73" s="216">
        <f t="shared" si="78"/>
        <v>0</v>
      </c>
      <c r="V73" s="216">
        <f t="shared" si="78"/>
        <v>6678.2440000000006</v>
      </c>
      <c r="W73" s="100"/>
      <c r="X73" s="216">
        <f t="shared" si="78"/>
        <v>6678.2440000000006</v>
      </c>
      <c r="Y73" s="216">
        <f t="shared" si="78"/>
        <v>0</v>
      </c>
      <c r="Z73" s="241">
        <f t="shared" si="78"/>
        <v>0</v>
      </c>
      <c r="AA73" s="216">
        <f t="shared" si="78"/>
        <v>6678.2440000000006</v>
      </c>
      <c r="AB73" s="216">
        <f t="shared" si="78"/>
        <v>0</v>
      </c>
      <c r="AC73" s="216">
        <f t="shared" si="78"/>
        <v>6678.2440000000006</v>
      </c>
      <c r="AD73" s="216">
        <f t="shared" si="78"/>
        <v>0</v>
      </c>
      <c r="AE73" s="241">
        <f t="shared" si="78"/>
        <v>0</v>
      </c>
      <c r="AF73" s="216">
        <f t="shared" si="78"/>
        <v>6678.2440000000006</v>
      </c>
      <c r="AG73" s="216">
        <f t="shared" si="78"/>
        <v>0</v>
      </c>
      <c r="AH73" s="3"/>
    </row>
    <row r="74" spans="1:34">
      <c r="A74" s="413"/>
      <c r="B74" s="209" t="s">
        <v>211</v>
      </c>
      <c r="C74" s="212"/>
      <c r="D74" s="212"/>
      <c r="E74" s="212"/>
      <c r="F74" s="212"/>
      <c r="G74" s="212"/>
      <c r="H74" s="212"/>
      <c r="I74" s="186"/>
      <c r="J74" s="212"/>
      <c r="K74" s="216">
        <f>SUM(K75:K84)</f>
        <v>25305</v>
      </c>
      <c r="L74" s="216">
        <f t="shared" ref="L74:V74" si="79">SUM(L75:L84)</f>
        <v>1406</v>
      </c>
      <c r="M74" s="216">
        <f t="shared" si="79"/>
        <v>0</v>
      </c>
      <c r="N74" s="216">
        <f t="shared" si="79"/>
        <v>6678.2440000000006</v>
      </c>
      <c r="O74" s="216">
        <f t="shared" si="79"/>
        <v>0</v>
      </c>
      <c r="P74" s="241">
        <f t="shared" si="79"/>
        <v>0</v>
      </c>
      <c r="Q74" s="216">
        <f t="shared" si="79"/>
        <v>6678.2440000000006</v>
      </c>
      <c r="R74" s="216">
        <f t="shared" si="79"/>
        <v>0</v>
      </c>
      <c r="S74" s="216">
        <f t="shared" si="79"/>
        <v>6678.2440000000006</v>
      </c>
      <c r="T74" s="216">
        <f t="shared" si="79"/>
        <v>0</v>
      </c>
      <c r="U74" s="216">
        <f t="shared" si="79"/>
        <v>0</v>
      </c>
      <c r="V74" s="216">
        <f t="shared" si="79"/>
        <v>6678.2440000000006</v>
      </c>
      <c r="W74" s="97">
        <f t="shared" ref="W74" si="80">W75+W85</f>
        <v>0</v>
      </c>
      <c r="X74" s="216">
        <f t="shared" ref="X74:AB74" si="81">SUM(X75:X84)</f>
        <v>6678.2440000000006</v>
      </c>
      <c r="Y74" s="216">
        <f t="shared" si="81"/>
        <v>0</v>
      </c>
      <c r="Z74" s="241">
        <f t="shared" si="81"/>
        <v>0</v>
      </c>
      <c r="AA74" s="216">
        <f t="shared" si="81"/>
        <v>6678.2440000000006</v>
      </c>
      <c r="AB74" s="216">
        <f t="shared" si="81"/>
        <v>0</v>
      </c>
      <c r="AC74" s="216">
        <f t="shared" ref="AC74:AG74" si="82">SUM(AC75:AC84)</f>
        <v>6678.2440000000006</v>
      </c>
      <c r="AD74" s="216">
        <f t="shared" si="82"/>
        <v>0</v>
      </c>
      <c r="AE74" s="241">
        <f t="shared" si="82"/>
        <v>0</v>
      </c>
      <c r="AF74" s="216">
        <f t="shared" si="82"/>
        <v>6678.2440000000006</v>
      </c>
      <c r="AG74" s="216">
        <f t="shared" si="82"/>
        <v>0</v>
      </c>
      <c r="AH74" s="98"/>
    </row>
    <row r="75" spans="1:34" s="21" customFormat="1" ht="45">
      <c r="A75" s="502">
        <v>1</v>
      </c>
      <c r="B75" s="494" t="s">
        <v>74</v>
      </c>
      <c r="C75" s="109" t="s">
        <v>61</v>
      </c>
      <c r="D75" s="111" t="s">
        <v>79</v>
      </c>
      <c r="E75" s="111" t="s">
        <v>42</v>
      </c>
      <c r="F75" s="192">
        <v>7874717</v>
      </c>
      <c r="G75" s="114">
        <v>292</v>
      </c>
      <c r="H75" s="112" t="s">
        <v>86</v>
      </c>
      <c r="I75" s="496" t="s">
        <v>80</v>
      </c>
      <c r="J75" s="503" t="s">
        <v>81</v>
      </c>
      <c r="K75" s="504">
        <v>1085</v>
      </c>
      <c r="L75" s="504">
        <v>51</v>
      </c>
      <c r="M75" s="97"/>
      <c r="N75" s="441">
        <f>SUM(O75:R75)</f>
        <v>300</v>
      </c>
      <c r="O75" s="505"/>
      <c r="P75" s="506"/>
      <c r="Q75" s="506">
        <v>300</v>
      </c>
      <c r="R75" s="506"/>
      <c r="S75" s="616">
        <f>SUM(T75:W75)</f>
        <v>300</v>
      </c>
      <c r="T75" s="616"/>
      <c r="U75" s="616"/>
      <c r="V75" s="182">
        <v>300</v>
      </c>
      <c r="W75" s="100"/>
      <c r="X75" s="441">
        <f>SUM(Y75:AB75)</f>
        <v>300</v>
      </c>
      <c r="Y75" s="505"/>
      <c r="Z75" s="506"/>
      <c r="AA75" s="506">
        <v>300</v>
      </c>
      <c r="AB75" s="506"/>
      <c r="AC75" s="441">
        <f>SUM(AD75:AG75)</f>
        <v>300</v>
      </c>
      <c r="AD75" s="505"/>
      <c r="AE75" s="506"/>
      <c r="AF75" s="506">
        <v>300</v>
      </c>
      <c r="AG75" s="506"/>
      <c r="AH75" s="20"/>
    </row>
    <row r="76" spans="1:34" s="21" customFormat="1" ht="45">
      <c r="A76" s="502">
        <v>2</v>
      </c>
      <c r="B76" s="494" t="s">
        <v>75</v>
      </c>
      <c r="C76" s="109" t="s">
        <v>61</v>
      </c>
      <c r="D76" s="111" t="s">
        <v>79</v>
      </c>
      <c r="E76" s="111" t="s">
        <v>42</v>
      </c>
      <c r="F76" s="192">
        <v>7874719</v>
      </c>
      <c r="G76" s="114">
        <v>292</v>
      </c>
      <c r="H76" s="112" t="s">
        <v>87</v>
      </c>
      <c r="I76" s="496" t="s">
        <v>80</v>
      </c>
      <c r="J76" s="503" t="s">
        <v>82</v>
      </c>
      <c r="K76" s="504">
        <v>1121</v>
      </c>
      <c r="L76" s="504">
        <v>53</v>
      </c>
      <c r="M76" s="46"/>
      <c r="N76" s="441">
        <f>SUM(O76:R76)</f>
        <v>250</v>
      </c>
      <c r="O76" s="441"/>
      <c r="P76" s="441"/>
      <c r="Q76" s="441">
        <v>250</v>
      </c>
      <c r="R76" s="441"/>
      <c r="S76" s="370">
        <f t="shared" ref="S76:S81" si="83">SUM(T76:W76)</f>
        <v>250</v>
      </c>
      <c r="T76" s="370"/>
      <c r="U76" s="370"/>
      <c r="V76" s="182">
        <v>250</v>
      </c>
      <c r="W76" s="116"/>
      <c r="X76" s="441">
        <f>SUM(Y76:AB76)</f>
        <v>250</v>
      </c>
      <c r="Y76" s="441"/>
      <c r="Z76" s="441"/>
      <c r="AA76" s="441">
        <v>250</v>
      </c>
      <c r="AB76" s="441"/>
      <c r="AC76" s="441">
        <f>SUM(AD76:AG76)</f>
        <v>250</v>
      </c>
      <c r="AD76" s="441"/>
      <c r="AE76" s="441"/>
      <c r="AF76" s="441">
        <v>250</v>
      </c>
      <c r="AG76" s="441"/>
      <c r="AH76" s="20"/>
    </row>
    <row r="77" spans="1:34" s="21" customFormat="1" ht="45">
      <c r="A77" s="502">
        <v>3</v>
      </c>
      <c r="B77" s="494" t="s">
        <v>76</v>
      </c>
      <c r="C77" s="109" t="s">
        <v>61</v>
      </c>
      <c r="D77" s="111" t="s">
        <v>79</v>
      </c>
      <c r="E77" s="111" t="s">
        <v>42</v>
      </c>
      <c r="F77" s="192">
        <v>7874718</v>
      </c>
      <c r="G77" s="114">
        <v>292</v>
      </c>
      <c r="H77" s="112" t="s">
        <v>88</v>
      </c>
      <c r="I77" s="496" t="s">
        <v>80</v>
      </c>
      <c r="J77" s="503" t="s">
        <v>83</v>
      </c>
      <c r="K77" s="504">
        <v>1824</v>
      </c>
      <c r="L77" s="504">
        <v>86</v>
      </c>
      <c r="M77" s="46"/>
      <c r="N77" s="441">
        <f t="shared" ref="N77:N84" si="84">SUM(O77:R77)</f>
        <v>450</v>
      </c>
      <c r="O77" s="441"/>
      <c r="P77" s="441"/>
      <c r="Q77" s="441">
        <v>450</v>
      </c>
      <c r="R77" s="441"/>
      <c r="S77" s="370">
        <f t="shared" si="83"/>
        <v>450</v>
      </c>
      <c r="T77" s="370"/>
      <c r="U77" s="370"/>
      <c r="V77" s="182">
        <v>450</v>
      </c>
      <c r="W77" s="46"/>
      <c r="X77" s="441">
        <f t="shared" ref="X77:X84" si="85">SUM(Y77:AB77)</f>
        <v>450</v>
      </c>
      <c r="Y77" s="441"/>
      <c r="Z77" s="441"/>
      <c r="AA77" s="441">
        <v>450</v>
      </c>
      <c r="AB77" s="441"/>
      <c r="AC77" s="441">
        <f t="shared" ref="AC77:AC84" si="86">SUM(AD77:AG77)</f>
        <v>450</v>
      </c>
      <c r="AD77" s="441"/>
      <c r="AE77" s="441"/>
      <c r="AF77" s="441">
        <v>450</v>
      </c>
      <c r="AG77" s="441"/>
      <c r="AH77" s="20"/>
    </row>
    <row r="78" spans="1:34" s="21" customFormat="1" ht="60">
      <c r="A78" s="502">
        <v>4</v>
      </c>
      <c r="B78" s="494" t="s">
        <v>103</v>
      </c>
      <c r="C78" s="109" t="s">
        <v>61</v>
      </c>
      <c r="D78" s="111" t="s">
        <v>79</v>
      </c>
      <c r="E78" s="111" t="s">
        <v>42</v>
      </c>
      <c r="F78" s="192">
        <v>8008351</v>
      </c>
      <c r="G78" s="114">
        <v>292</v>
      </c>
      <c r="H78" s="112" t="s">
        <v>108</v>
      </c>
      <c r="I78" s="496" t="s">
        <v>80</v>
      </c>
      <c r="J78" s="503" t="s">
        <v>113</v>
      </c>
      <c r="K78" s="504">
        <v>3387</v>
      </c>
      <c r="L78" s="504">
        <v>254</v>
      </c>
      <c r="M78" s="46"/>
      <c r="N78" s="441">
        <f t="shared" si="84"/>
        <v>1200</v>
      </c>
      <c r="O78" s="441"/>
      <c r="P78" s="441"/>
      <c r="Q78" s="441">
        <v>1200</v>
      </c>
      <c r="R78" s="441"/>
      <c r="S78" s="370">
        <f t="shared" si="83"/>
        <v>1200</v>
      </c>
      <c r="T78" s="370"/>
      <c r="U78" s="370"/>
      <c r="V78" s="182">
        <v>1200</v>
      </c>
      <c r="W78" s="46"/>
      <c r="X78" s="441">
        <f t="shared" si="85"/>
        <v>1200</v>
      </c>
      <c r="Y78" s="441"/>
      <c r="Z78" s="441"/>
      <c r="AA78" s="441">
        <v>1200</v>
      </c>
      <c r="AB78" s="441"/>
      <c r="AC78" s="441">
        <f t="shared" si="86"/>
        <v>1200</v>
      </c>
      <c r="AD78" s="441"/>
      <c r="AE78" s="441"/>
      <c r="AF78" s="441">
        <v>1200</v>
      </c>
      <c r="AG78" s="441"/>
      <c r="AH78" s="20"/>
    </row>
    <row r="79" spans="1:34" s="21" customFormat="1" ht="60">
      <c r="A79" s="502">
        <v>5</v>
      </c>
      <c r="B79" s="494" t="s">
        <v>104</v>
      </c>
      <c r="C79" s="109" t="s">
        <v>61</v>
      </c>
      <c r="D79" s="111" t="s">
        <v>79</v>
      </c>
      <c r="E79" s="111" t="s">
        <v>42</v>
      </c>
      <c r="F79" s="192">
        <v>8003062</v>
      </c>
      <c r="G79" s="114">
        <v>292</v>
      </c>
      <c r="H79" s="112" t="s">
        <v>109</v>
      </c>
      <c r="I79" s="496" t="s">
        <v>80</v>
      </c>
      <c r="J79" s="503" t="s">
        <v>114</v>
      </c>
      <c r="K79" s="504">
        <v>1726</v>
      </c>
      <c r="L79" s="504">
        <v>129</v>
      </c>
      <c r="M79" s="46"/>
      <c r="N79" s="441">
        <f t="shared" si="84"/>
        <v>300</v>
      </c>
      <c r="O79" s="441"/>
      <c r="P79" s="441"/>
      <c r="Q79" s="441">
        <v>300</v>
      </c>
      <c r="R79" s="441"/>
      <c r="S79" s="370">
        <f t="shared" si="83"/>
        <v>300</v>
      </c>
      <c r="T79" s="370"/>
      <c r="U79" s="370"/>
      <c r="V79" s="182">
        <v>300</v>
      </c>
      <c r="W79" s="46"/>
      <c r="X79" s="441">
        <f t="shared" si="85"/>
        <v>300</v>
      </c>
      <c r="Y79" s="441"/>
      <c r="Z79" s="441"/>
      <c r="AA79" s="441">
        <v>300</v>
      </c>
      <c r="AB79" s="441"/>
      <c r="AC79" s="441">
        <f t="shared" si="86"/>
        <v>300</v>
      </c>
      <c r="AD79" s="441"/>
      <c r="AE79" s="441"/>
      <c r="AF79" s="441">
        <v>300</v>
      </c>
      <c r="AG79" s="441"/>
      <c r="AH79" s="20"/>
    </row>
    <row r="80" spans="1:34" s="21" customFormat="1" ht="60">
      <c r="A80" s="502">
        <v>6</v>
      </c>
      <c r="B80" s="494" t="s">
        <v>105</v>
      </c>
      <c r="C80" s="109" t="s">
        <v>61</v>
      </c>
      <c r="D80" s="111" t="s">
        <v>79</v>
      </c>
      <c r="E80" s="111" t="s">
        <v>42</v>
      </c>
      <c r="F80" s="192">
        <v>8003059</v>
      </c>
      <c r="G80" s="114">
        <v>292</v>
      </c>
      <c r="H80" s="112" t="s">
        <v>110</v>
      </c>
      <c r="I80" s="496" t="s">
        <v>80</v>
      </c>
      <c r="J80" s="503" t="s">
        <v>115</v>
      </c>
      <c r="K80" s="504">
        <v>2093</v>
      </c>
      <c r="L80" s="504">
        <v>157</v>
      </c>
      <c r="M80" s="46"/>
      <c r="N80" s="441">
        <f t="shared" si="84"/>
        <v>650</v>
      </c>
      <c r="O80" s="441"/>
      <c r="P80" s="441"/>
      <c r="Q80" s="441">
        <v>650</v>
      </c>
      <c r="R80" s="441"/>
      <c r="S80" s="370">
        <f t="shared" si="83"/>
        <v>650</v>
      </c>
      <c r="T80" s="370"/>
      <c r="U80" s="370"/>
      <c r="V80" s="182">
        <v>650</v>
      </c>
      <c r="W80" s="46"/>
      <c r="X80" s="441">
        <f t="shared" si="85"/>
        <v>650</v>
      </c>
      <c r="Y80" s="441"/>
      <c r="Z80" s="441"/>
      <c r="AA80" s="441">
        <v>650</v>
      </c>
      <c r="AB80" s="441"/>
      <c r="AC80" s="441">
        <f t="shared" si="86"/>
        <v>650</v>
      </c>
      <c r="AD80" s="441"/>
      <c r="AE80" s="441"/>
      <c r="AF80" s="441">
        <v>650</v>
      </c>
      <c r="AG80" s="441"/>
      <c r="AH80" s="20"/>
    </row>
    <row r="81" spans="1:34" s="21" customFormat="1" ht="60">
      <c r="A81" s="502">
        <v>7</v>
      </c>
      <c r="B81" s="494" t="s">
        <v>106</v>
      </c>
      <c r="C81" s="109" t="s">
        <v>61</v>
      </c>
      <c r="D81" s="111" t="s">
        <v>79</v>
      </c>
      <c r="E81" s="111" t="s">
        <v>42</v>
      </c>
      <c r="F81" s="192">
        <v>8003061</v>
      </c>
      <c r="G81" s="114">
        <v>292</v>
      </c>
      <c r="H81" s="112" t="s">
        <v>111</v>
      </c>
      <c r="I81" s="496" t="s">
        <v>80</v>
      </c>
      <c r="J81" s="503" t="s">
        <v>116</v>
      </c>
      <c r="K81" s="504">
        <v>2679</v>
      </c>
      <c r="L81" s="504">
        <v>201</v>
      </c>
      <c r="M81" s="46"/>
      <c r="N81" s="441">
        <f t="shared" si="84"/>
        <v>250</v>
      </c>
      <c r="O81" s="441"/>
      <c r="P81" s="441"/>
      <c r="Q81" s="441">
        <v>250</v>
      </c>
      <c r="R81" s="441"/>
      <c r="S81" s="370">
        <f t="shared" si="83"/>
        <v>250</v>
      </c>
      <c r="T81" s="370"/>
      <c r="U81" s="370"/>
      <c r="V81" s="182">
        <v>250</v>
      </c>
      <c r="W81" s="46"/>
      <c r="X81" s="441">
        <f t="shared" si="85"/>
        <v>250</v>
      </c>
      <c r="Y81" s="441"/>
      <c r="Z81" s="441"/>
      <c r="AA81" s="441">
        <v>250</v>
      </c>
      <c r="AB81" s="441"/>
      <c r="AC81" s="441">
        <f t="shared" si="86"/>
        <v>250</v>
      </c>
      <c r="AD81" s="441"/>
      <c r="AE81" s="441"/>
      <c r="AF81" s="441">
        <v>250</v>
      </c>
      <c r="AG81" s="441"/>
      <c r="AH81" s="20"/>
    </row>
    <row r="82" spans="1:34" s="21" customFormat="1" ht="45">
      <c r="A82" s="502">
        <v>8</v>
      </c>
      <c r="B82" s="494" t="s">
        <v>107</v>
      </c>
      <c r="C82" s="109" t="s">
        <v>61</v>
      </c>
      <c r="D82" s="111" t="s">
        <v>79</v>
      </c>
      <c r="E82" s="111" t="s">
        <v>42</v>
      </c>
      <c r="F82" s="192">
        <v>8012043</v>
      </c>
      <c r="G82" s="114">
        <v>292</v>
      </c>
      <c r="H82" s="112" t="s">
        <v>112</v>
      </c>
      <c r="I82" s="496" t="s">
        <v>80</v>
      </c>
      <c r="J82" s="503" t="s">
        <v>117</v>
      </c>
      <c r="K82" s="504">
        <v>6695</v>
      </c>
      <c r="L82" s="504">
        <v>215</v>
      </c>
      <c r="M82" s="46"/>
      <c r="N82" s="441">
        <f t="shared" si="84"/>
        <v>2476.431</v>
      </c>
      <c r="O82" s="441"/>
      <c r="P82" s="441"/>
      <c r="Q82" s="441">
        <f>2476431000/1000000</f>
        <v>2476.431</v>
      </c>
      <c r="R82" s="441"/>
      <c r="S82" s="370">
        <f>SUM(T82:W82)</f>
        <v>2476.431</v>
      </c>
      <c r="T82" s="370"/>
      <c r="U82" s="370"/>
      <c r="V82" s="146">
        <v>2476.431</v>
      </c>
      <c r="W82" s="46"/>
      <c r="X82" s="441">
        <f t="shared" si="85"/>
        <v>2476.431</v>
      </c>
      <c r="Y82" s="441"/>
      <c r="Z82" s="441"/>
      <c r="AA82" s="441">
        <f>2476431000/1000000</f>
        <v>2476.431</v>
      </c>
      <c r="AB82" s="441"/>
      <c r="AC82" s="441">
        <f t="shared" si="86"/>
        <v>2476.431</v>
      </c>
      <c r="AD82" s="441"/>
      <c r="AE82" s="441"/>
      <c r="AF82" s="441">
        <f>2476431000/1000000</f>
        <v>2476.431</v>
      </c>
      <c r="AG82" s="441"/>
      <c r="AH82" s="20"/>
    </row>
    <row r="83" spans="1:34" s="21" customFormat="1" ht="45">
      <c r="A83" s="502">
        <v>9</v>
      </c>
      <c r="B83" s="494" t="s">
        <v>77</v>
      </c>
      <c r="C83" s="109" t="s">
        <v>61</v>
      </c>
      <c r="D83" s="111" t="s">
        <v>79</v>
      </c>
      <c r="E83" s="111" t="s">
        <v>42</v>
      </c>
      <c r="F83" s="192">
        <v>7998813</v>
      </c>
      <c r="G83" s="114">
        <v>292</v>
      </c>
      <c r="H83" s="112" t="s">
        <v>89</v>
      </c>
      <c r="I83" s="496" t="s">
        <v>80</v>
      </c>
      <c r="J83" s="503" t="s">
        <v>84</v>
      </c>
      <c r="K83" s="504">
        <v>1138</v>
      </c>
      <c r="L83" s="504">
        <v>54</v>
      </c>
      <c r="M83" s="46"/>
      <c r="N83" s="441">
        <f t="shared" si="84"/>
        <v>100</v>
      </c>
      <c r="O83" s="441"/>
      <c r="P83" s="441"/>
      <c r="Q83" s="441">
        <v>100</v>
      </c>
      <c r="R83" s="441"/>
      <c r="S83" s="370">
        <f>SUM(T83:W83)</f>
        <v>100</v>
      </c>
      <c r="T83" s="370"/>
      <c r="U83" s="370"/>
      <c r="V83" s="182">
        <v>100</v>
      </c>
      <c r="W83" s="46"/>
      <c r="X83" s="441">
        <f t="shared" si="85"/>
        <v>100</v>
      </c>
      <c r="Y83" s="441"/>
      <c r="Z83" s="441"/>
      <c r="AA83" s="441">
        <v>100</v>
      </c>
      <c r="AB83" s="441"/>
      <c r="AC83" s="441">
        <f t="shared" si="86"/>
        <v>100</v>
      </c>
      <c r="AD83" s="441"/>
      <c r="AE83" s="441"/>
      <c r="AF83" s="441">
        <v>100</v>
      </c>
      <c r="AG83" s="441"/>
      <c r="AH83" s="20"/>
    </row>
    <row r="84" spans="1:34" s="21" customFormat="1" ht="45">
      <c r="A84" s="502">
        <v>10</v>
      </c>
      <c r="B84" s="494" t="s">
        <v>78</v>
      </c>
      <c r="C84" s="109" t="s">
        <v>61</v>
      </c>
      <c r="D84" s="111" t="s">
        <v>79</v>
      </c>
      <c r="E84" s="111" t="s">
        <v>42</v>
      </c>
      <c r="F84" s="192">
        <v>7998812</v>
      </c>
      <c r="G84" s="114">
        <v>292</v>
      </c>
      <c r="H84" s="112" t="s">
        <v>90</v>
      </c>
      <c r="I84" s="496" t="s">
        <v>80</v>
      </c>
      <c r="J84" s="503" t="s">
        <v>85</v>
      </c>
      <c r="K84" s="504">
        <v>3557</v>
      </c>
      <c r="L84" s="504">
        <v>206</v>
      </c>
      <c r="M84" s="46"/>
      <c r="N84" s="441">
        <f t="shared" si="84"/>
        <v>701.81299999999999</v>
      </c>
      <c r="O84" s="441"/>
      <c r="P84" s="441"/>
      <c r="Q84" s="441">
        <f>701813000/1000000</f>
        <v>701.81299999999999</v>
      </c>
      <c r="R84" s="441"/>
      <c r="S84" s="463">
        <f>SUM(T84:W84)</f>
        <v>701.81299999999999</v>
      </c>
      <c r="T84" s="463"/>
      <c r="U84" s="463"/>
      <c r="V84" s="146">
        <v>701.81299999999999</v>
      </c>
      <c r="W84" s="46"/>
      <c r="X84" s="441">
        <f t="shared" si="85"/>
        <v>701.81299999999999</v>
      </c>
      <c r="Y84" s="441"/>
      <c r="Z84" s="441"/>
      <c r="AA84" s="441">
        <f>701813000/1000000</f>
        <v>701.81299999999999</v>
      </c>
      <c r="AB84" s="441"/>
      <c r="AC84" s="441">
        <f t="shared" si="86"/>
        <v>701.81299999999999</v>
      </c>
      <c r="AD84" s="441"/>
      <c r="AE84" s="441"/>
      <c r="AF84" s="441">
        <f>701813000/1000000</f>
        <v>701.81299999999999</v>
      </c>
      <c r="AG84" s="441"/>
      <c r="AH84" s="20"/>
    </row>
    <row r="85" spans="1:34">
      <c r="A85" s="210" t="s">
        <v>58</v>
      </c>
      <c r="B85" s="211" t="s">
        <v>212</v>
      </c>
      <c r="C85" s="213"/>
      <c r="D85" s="213"/>
      <c r="E85" s="213"/>
      <c r="F85" s="215"/>
      <c r="G85" s="215"/>
      <c r="H85" s="213"/>
      <c r="I85" s="213"/>
      <c r="J85" s="213"/>
      <c r="K85" s="217">
        <f>K86</f>
        <v>9775</v>
      </c>
      <c r="L85" s="217">
        <f t="shared" ref="L85" si="87">L86</f>
        <v>0</v>
      </c>
      <c r="M85" s="97">
        <f>SUM(M86:M86)</f>
        <v>0</v>
      </c>
      <c r="N85" s="97">
        <f>SUM(N86:N86)</f>
        <v>600</v>
      </c>
      <c r="O85" s="97">
        <f>SUM(O86:O86)</f>
        <v>0</v>
      </c>
      <c r="P85" s="190">
        <f>SUM(P86:P86)</f>
        <v>0</v>
      </c>
      <c r="Q85" s="217">
        <f t="shared" ref="Q85" si="88">Q86</f>
        <v>600</v>
      </c>
      <c r="R85" s="97">
        <f t="shared" ref="R85:AG85" si="89">SUM(R86:R86)</f>
        <v>0</v>
      </c>
      <c r="S85" s="190">
        <f t="shared" si="89"/>
        <v>600</v>
      </c>
      <c r="T85" s="190">
        <f t="shared" si="89"/>
        <v>0</v>
      </c>
      <c r="U85" s="190">
        <f t="shared" si="89"/>
        <v>0</v>
      </c>
      <c r="V85" s="190">
        <f t="shared" si="89"/>
        <v>600</v>
      </c>
      <c r="W85" s="97">
        <f t="shared" si="89"/>
        <v>0</v>
      </c>
      <c r="X85" s="97">
        <f>SUM(X86:X86)</f>
        <v>600</v>
      </c>
      <c r="Y85" s="97">
        <f>SUM(Y86:Y86)</f>
        <v>0</v>
      </c>
      <c r="Z85" s="190">
        <f>SUM(Z86:Z86)</f>
        <v>0</v>
      </c>
      <c r="AA85" s="217">
        <f t="shared" ref="AA85" si="90">AA86</f>
        <v>600</v>
      </c>
      <c r="AB85" s="97">
        <f t="shared" si="89"/>
        <v>0</v>
      </c>
      <c r="AC85" s="97">
        <f>SUM(AC86:AC86)</f>
        <v>600</v>
      </c>
      <c r="AD85" s="97">
        <f>SUM(AD86:AD86)</f>
        <v>0</v>
      </c>
      <c r="AE85" s="190">
        <f>SUM(AE86:AE86)</f>
        <v>0</v>
      </c>
      <c r="AF85" s="217">
        <f t="shared" ref="AF85" si="91">AF86</f>
        <v>600</v>
      </c>
      <c r="AG85" s="97">
        <f t="shared" si="89"/>
        <v>0</v>
      </c>
      <c r="AH85" s="98"/>
    </row>
    <row r="86" spans="1:34" s="21" customFormat="1" ht="45">
      <c r="A86" s="502">
        <v>1</v>
      </c>
      <c r="B86" s="494" t="s">
        <v>128</v>
      </c>
      <c r="C86" s="109" t="s">
        <v>61</v>
      </c>
      <c r="D86" s="111" t="s">
        <v>100</v>
      </c>
      <c r="E86" s="111" t="s">
        <v>42</v>
      </c>
      <c r="F86" s="192">
        <v>7917538</v>
      </c>
      <c r="G86" s="114">
        <v>292</v>
      </c>
      <c r="H86" s="112" t="s">
        <v>241</v>
      </c>
      <c r="I86" s="496" t="s">
        <v>48</v>
      </c>
      <c r="J86" s="503" t="s">
        <v>267</v>
      </c>
      <c r="K86" s="504">
        <v>9775</v>
      </c>
      <c r="L86" s="504"/>
      <c r="M86" s="46"/>
      <c r="N86" s="46">
        <f t="shared" ref="N86" si="92">SUM(O86:R86)</f>
        <v>600</v>
      </c>
      <c r="O86" s="46"/>
      <c r="P86" s="146"/>
      <c r="Q86" s="504">
        <v>600</v>
      </c>
      <c r="R86" s="46"/>
      <c r="S86" s="146">
        <f>SUM(T86:W86)</f>
        <v>600</v>
      </c>
      <c r="T86" s="146"/>
      <c r="U86" s="146"/>
      <c r="V86" s="507">
        <v>600</v>
      </c>
      <c r="W86" s="46"/>
      <c r="X86" s="46">
        <f t="shared" ref="X86" si="93">SUM(Y86:AB86)</f>
        <v>600</v>
      </c>
      <c r="Y86" s="46"/>
      <c r="Z86" s="146"/>
      <c r="AA86" s="504">
        <v>600</v>
      </c>
      <c r="AB86" s="46"/>
      <c r="AC86" s="46">
        <f t="shared" ref="AC86" si="94">SUM(AD86:AG86)</f>
        <v>600</v>
      </c>
      <c r="AD86" s="46"/>
      <c r="AE86" s="146"/>
      <c r="AF86" s="504">
        <v>600</v>
      </c>
      <c r="AG86" s="46"/>
      <c r="AH86" s="20"/>
    </row>
    <row r="87" spans="1:34" ht="31.5">
      <c r="A87" s="200">
        <v>2</v>
      </c>
      <c r="B87" s="201" t="s">
        <v>55</v>
      </c>
      <c r="C87" s="200"/>
      <c r="D87" s="200"/>
      <c r="E87" s="200"/>
      <c r="F87" s="200"/>
      <c r="G87" s="99"/>
      <c r="H87" s="200"/>
      <c r="I87" s="200"/>
      <c r="J87" s="200"/>
      <c r="K87" s="97">
        <f>K88+K90</f>
        <v>24225</v>
      </c>
      <c r="L87" s="97">
        <f t="shared" ref="L87:AH87" si="95">L88+L90</f>
        <v>0</v>
      </c>
      <c r="M87" s="97">
        <f t="shared" si="95"/>
        <v>0</v>
      </c>
      <c r="N87" s="630">
        <f>N88+N90</f>
        <v>17000</v>
      </c>
      <c r="O87" s="630">
        <f t="shared" ref="O87:V87" si="96">O88+O90</f>
        <v>0</v>
      </c>
      <c r="P87" s="630">
        <f t="shared" si="96"/>
        <v>0</v>
      </c>
      <c r="Q87" s="630">
        <f t="shared" si="96"/>
        <v>17000</v>
      </c>
      <c r="R87" s="630">
        <f t="shared" si="96"/>
        <v>0</v>
      </c>
      <c r="S87" s="630">
        <f t="shared" si="96"/>
        <v>12356.66</v>
      </c>
      <c r="T87" s="630">
        <f t="shared" si="96"/>
        <v>0</v>
      </c>
      <c r="U87" s="630">
        <f t="shared" si="96"/>
        <v>0</v>
      </c>
      <c r="V87" s="630">
        <f t="shared" si="96"/>
        <v>12356.66</v>
      </c>
      <c r="W87" s="97">
        <f t="shared" si="95"/>
        <v>0</v>
      </c>
      <c r="X87" s="630">
        <f>X88+X90</f>
        <v>17000</v>
      </c>
      <c r="Y87" s="630">
        <f t="shared" ref="Y87:AB87" si="97">Y88+Y90</f>
        <v>0</v>
      </c>
      <c r="Z87" s="630">
        <f t="shared" si="97"/>
        <v>0</v>
      </c>
      <c r="AA87" s="630">
        <f t="shared" si="97"/>
        <v>17000</v>
      </c>
      <c r="AB87" s="630">
        <f t="shared" si="97"/>
        <v>0</v>
      </c>
      <c r="AC87" s="630">
        <f>AC88+AC90</f>
        <v>17000</v>
      </c>
      <c r="AD87" s="630">
        <f t="shared" ref="AD87:AG87" si="98">AD88+AD90</f>
        <v>0</v>
      </c>
      <c r="AE87" s="630">
        <f t="shared" si="98"/>
        <v>0</v>
      </c>
      <c r="AF87" s="630">
        <f t="shared" si="98"/>
        <v>17000</v>
      </c>
      <c r="AG87" s="630">
        <f t="shared" si="98"/>
        <v>0</v>
      </c>
      <c r="AH87" s="97">
        <f t="shared" si="95"/>
        <v>0</v>
      </c>
    </row>
    <row r="88" spans="1:34">
      <c r="A88" s="95"/>
      <c r="B88" s="96" t="s">
        <v>36</v>
      </c>
      <c r="C88" s="95"/>
      <c r="D88" s="95"/>
      <c r="E88" s="95"/>
      <c r="F88" s="95"/>
      <c r="G88" s="95"/>
      <c r="H88" s="95"/>
      <c r="I88" s="95"/>
      <c r="J88" s="95"/>
      <c r="K88" s="97">
        <f>K89</f>
        <v>3710</v>
      </c>
      <c r="L88" s="97">
        <f t="shared" ref="L88:AH88" si="99">L89</f>
        <v>0</v>
      </c>
      <c r="M88" s="97">
        <f t="shared" si="99"/>
        <v>0</v>
      </c>
      <c r="N88" s="630">
        <f>SUM(N89)</f>
        <v>1150</v>
      </c>
      <c r="O88" s="630">
        <f t="shared" ref="O88:V88" si="100">SUM(O89)</f>
        <v>0</v>
      </c>
      <c r="P88" s="630">
        <f t="shared" si="100"/>
        <v>0</v>
      </c>
      <c r="Q88" s="630">
        <f t="shared" si="100"/>
        <v>1150</v>
      </c>
      <c r="R88" s="630">
        <f t="shared" si="100"/>
        <v>0</v>
      </c>
      <c r="S88" s="630">
        <f t="shared" si="100"/>
        <v>1150</v>
      </c>
      <c r="T88" s="630">
        <f t="shared" si="100"/>
        <v>0</v>
      </c>
      <c r="U88" s="630">
        <f t="shared" si="100"/>
        <v>0</v>
      </c>
      <c r="V88" s="630">
        <f t="shared" si="100"/>
        <v>1150</v>
      </c>
      <c r="W88" s="97">
        <f t="shared" si="99"/>
        <v>0</v>
      </c>
      <c r="X88" s="630">
        <f>SUM(X89)</f>
        <v>1150</v>
      </c>
      <c r="Y88" s="630">
        <f t="shared" ref="Y88:AG88" si="101">SUM(Y89)</f>
        <v>0</v>
      </c>
      <c r="Z88" s="630">
        <f t="shared" si="101"/>
        <v>0</v>
      </c>
      <c r="AA88" s="630">
        <f t="shared" si="101"/>
        <v>1150</v>
      </c>
      <c r="AB88" s="630">
        <f t="shared" si="101"/>
        <v>0</v>
      </c>
      <c r="AC88" s="630">
        <f>SUM(AC89)</f>
        <v>1150</v>
      </c>
      <c r="AD88" s="630">
        <f t="shared" si="101"/>
        <v>0</v>
      </c>
      <c r="AE88" s="630">
        <f t="shared" si="101"/>
        <v>0</v>
      </c>
      <c r="AF88" s="630">
        <f t="shared" si="101"/>
        <v>1150</v>
      </c>
      <c r="AG88" s="630">
        <f t="shared" si="101"/>
        <v>0</v>
      </c>
      <c r="AH88" s="97">
        <f t="shared" si="99"/>
        <v>0</v>
      </c>
    </row>
    <row r="89" spans="1:34" s="21" customFormat="1" ht="60">
      <c r="A89" s="502">
        <v>1</v>
      </c>
      <c r="B89" s="494" t="s">
        <v>695</v>
      </c>
      <c r="C89" s="109" t="s">
        <v>61</v>
      </c>
      <c r="D89" s="111" t="s">
        <v>66</v>
      </c>
      <c r="E89" s="111" t="s">
        <v>42</v>
      </c>
      <c r="F89" s="192">
        <v>7989026</v>
      </c>
      <c r="G89" s="114">
        <v>292</v>
      </c>
      <c r="H89" s="112" t="s">
        <v>122</v>
      </c>
      <c r="I89" s="496" t="s">
        <v>80</v>
      </c>
      <c r="J89" s="503" t="s">
        <v>125</v>
      </c>
      <c r="K89" s="504">
        <v>3710</v>
      </c>
      <c r="L89" s="504"/>
      <c r="M89" s="46"/>
      <c r="N89" s="646">
        <f>SUM(O89:R89)</f>
        <v>1150</v>
      </c>
      <c r="O89" s="646"/>
      <c r="P89" s="646"/>
      <c r="Q89" s="646">
        <v>1150</v>
      </c>
      <c r="R89" s="646"/>
      <c r="S89" s="646">
        <f>SUM(T89:W89)</f>
        <v>1150</v>
      </c>
      <c r="T89" s="646"/>
      <c r="U89" s="646"/>
      <c r="V89" s="646">
        <v>1150</v>
      </c>
      <c r="W89" s="46"/>
      <c r="X89" s="646">
        <f>SUM(Y89:AB89)</f>
        <v>1150</v>
      </c>
      <c r="Y89" s="646"/>
      <c r="Z89" s="646"/>
      <c r="AA89" s="646">
        <v>1150</v>
      </c>
      <c r="AB89" s="646"/>
      <c r="AC89" s="646">
        <f>SUM(AD89:AG89)</f>
        <v>1150</v>
      </c>
      <c r="AD89" s="646"/>
      <c r="AE89" s="646"/>
      <c r="AF89" s="646">
        <v>1150</v>
      </c>
      <c r="AG89" s="646"/>
      <c r="AH89" s="20"/>
    </row>
    <row r="90" spans="1:34" s="308" customFormat="1">
      <c r="A90" s="300"/>
      <c r="B90" s="301" t="s">
        <v>545</v>
      </c>
      <c r="C90" s="95"/>
      <c r="D90" s="302"/>
      <c r="E90" s="302"/>
      <c r="F90" s="303"/>
      <c r="G90" s="304"/>
      <c r="H90" s="305"/>
      <c r="I90" s="306"/>
      <c r="J90" s="95"/>
      <c r="K90" s="307">
        <f t="shared" ref="K90:AH90" si="102">SUM(K91:K96)</f>
        <v>20515</v>
      </c>
      <c r="L90" s="307">
        <f t="shared" si="102"/>
        <v>0</v>
      </c>
      <c r="M90" s="307">
        <f t="shared" si="102"/>
        <v>0</v>
      </c>
      <c r="N90" s="630">
        <f>SUM(N91:N96)</f>
        <v>15850</v>
      </c>
      <c r="O90" s="630">
        <f t="shared" ref="O90:V90" si="103">SUM(O91:O96)</f>
        <v>0</v>
      </c>
      <c r="P90" s="630">
        <f t="shared" si="103"/>
        <v>0</v>
      </c>
      <c r="Q90" s="630">
        <f>SUM(Q91:Q96)</f>
        <v>15850</v>
      </c>
      <c r="R90" s="630">
        <f t="shared" si="103"/>
        <v>0</v>
      </c>
      <c r="S90" s="630">
        <f t="shared" si="103"/>
        <v>11206.66</v>
      </c>
      <c r="T90" s="630">
        <f t="shared" si="103"/>
        <v>0</v>
      </c>
      <c r="U90" s="630">
        <f t="shared" si="103"/>
        <v>0</v>
      </c>
      <c r="V90" s="630">
        <f t="shared" si="103"/>
        <v>11206.66</v>
      </c>
      <c r="W90" s="307">
        <f t="shared" si="102"/>
        <v>0</v>
      </c>
      <c r="X90" s="630">
        <f>SUM(X91:X96)</f>
        <v>15850</v>
      </c>
      <c r="Y90" s="630">
        <f t="shared" ref="Y90:Z90" si="104">SUM(Y91:Y96)</f>
        <v>0</v>
      </c>
      <c r="Z90" s="630">
        <f t="shared" si="104"/>
        <v>0</v>
      </c>
      <c r="AA90" s="630">
        <f>SUM(AA91:AA96)</f>
        <v>15850</v>
      </c>
      <c r="AB90" s="630">
        <f t="shared" ref="AB90" si="105">SUM(AB91:AB96)</f>
        <v>0</v>
      </c>
      <c r="AC90" s="630">
        <f>SUM(AC91:AC96)</f>
        <v>15850</v>
      </c>
      <c r="AD90" s="630">
        <f t="shared" ref="AD90:AE90" si="106">SUM(AD91:AD96)</f>
        <v>0</v>
      </c>
      <c r="AE90" s="630">
        <f t="shared" si="106"/>
        <v>0</v>
      </c>
      <c r="AF90" s="630">
        <f>SUM(AF91:AF96)</f>
        <v>15850</v>
      </c>
      <c r="AG90" s="630">
        <f t="shared" ref="AG90" si="107">SUM(AG91:AG96)</f>
        <v>0</v>
      </c>
      <c r="AH90" s="307">
        <f t="shared" si="102"/>
        <v>0</v>
      </c>
    </row>
    <row r="91" spans="1:34" s="21" customFormat="1" ht="63">
      <c r="A91" s="502">
        <v>1</v>
      </c>
      <c r="B91" s="494" t="s">
        <v>273</v>
      </c>
      <c r="C91" s="109" t="s">
        <v>61</v>
      </c>
      <c r="D91" s="111" t="s">
        <v>66</v>
      </c>
      <c r="E91" s="111" t="s">
        <v>42</v>
      </c>
      <c r="F91" s="192">
        <v>8061257</v>
      </c>
      <c r="G91" s="114">
        <v>292</v>
      </c>
      <c r="H91" s="112" t="s">
        <v>274</v>
      </c>
      <c r="I91" s="496" t="s">
        <v>705</v>
      </c>
      <c r="J91" s="503" t="s">
        <v>547</v>
      </c>
      <c r="K91" s="504">
        <v>6788</v>
      </c>
      <c r="L91" s="504"/>
      <c r="M91" s="46"/>
      <c r="N91" s="370">
        <f t="shared" ref="N91:N96" si="108">SUM(O91:R91)</f>
        <v>6050</v>
      </c>
      <c r="O91" s="370"/>
      <c r="P91" s="370"/>
      <c r="Q91" s="370">
        <v>6050</v>
      </c>
      <c r="R91" s="370"/>
      <c r="S91" s="370">
        <f>SUM(T91:W91)</f>
        <v>4574.8220000000001</v>
      </c>
      <c r="T91" s="370"/>
      <c r="U91" s="370"/>
      <c r="V91" s="370">
        <f>4574822000/1000000</f>
        <v>4574.8220000000001</v>
      </c>
      <c r="W91" s="46"/>
      <c r="X91" s="370">
        <f t="shared" ref="X91:X96" si="109">SUM(Y91:AB91)</f>
        <v>6050</v>
      </c>
      <c r="Y91" s="370"/>
      <c r="Z91" s="370"/>
      <c r="AA91" s="370">
        <v>6050</v>
      </c>
      <c r="AB91" s="370"/>
      <c r="AC91" s="370">
        <f t="shared" ref="AC91:AC96" si="110">SUM(AD91:AG91)</f>
        <v>6050</v>
      </c>
      <c r="AD91" s="370"/>
      <c r="AE91" s="370"/>
      <c r="AF91" s="370">
        <v>6050</v>
      </c>
      <c r="AG91" s="370"/>
      <c r="AH91" s="20"/>
    </row>
    <row r="92" spans="1:34" s="21" customFormat="1" ht="45">
      <c r="A92" s="502">
        <v>2</v>
      </c>
      <c r="B92" s="494" t="s">
        <v>706</v>
      </c>
      <c r="C92" s="109" t="s">
        <v>61</v>
      </c>
      <c r="D92" s="111" t="s">
        <v>66</v>
      </c>
      <c r="E92" s="111" t="s">
        <v>42</v>
      </c>
      <c r="F92" s="192">
        <v>8061241</v>
      </c>
      <c r="G92" s="114">
        <v>292</v>
      </c>
      <c r="H92" s="112" t="s">
        <v>707</v>
      </c>
      <c r="I92" s="496" t="s">
        <v>705</v>
      </c>
      <c r="J92" s="503" t="s">
        <v>548</v>
      </c>
      <c r="K92" s="504">
        <v>1907</v>
      </c>
      <c r="L92" s="504"/>
      <c r="M92" s="46"/>
      <c r="N92" s="370">
        <f t="shared" si="108"/>
        <v>1580</v>
      </c>
      <c r="O92" s="370"/>
      <c r="P92" s="370"/>
      <c r="Q92" s="370">
        <f>1700-120</f>
        <v>1580</v>
      </c>
      <c r="R92" s="370"/>
      <c r="S92" s="370">
        <f t="shared" ref="S92:S96" si="111">SUM(T92:W92)</f>
        <v>1580</v>
      </c>
      <c r="T92" s="370"/>
      <c r="U92" s="370"/>
      <c r="V92" s="370">
        <v>1580</v>
      </c>
      <c r="W92" s="46"/>
      <c r="X92" s="370">
        <f t="shared" si="109"/>
        <v>1580</v>
      </c>
      <c r="Y92" s="370"/>
      <c r="Z92" s="370"/>
      <c r="AA92" s="370">
        <f>1700-120</f>
        <v>1580</v>
      </c>
      <c r="AB92" s="370"/>
      <c r="AC92" s="370">
        <f t="shared" si="110"/>
        <v>1580</v>
      </c>
      <c r="AD92" s="370"/>
      <c r="AE92" s="370"/>
      <c r="AF92" s="370">
        <f>1700-120</f>
        <v>1580</v>
      </c>
      <c r="AG92" s="370"/>
      <c r="AH92" s="20"/>
    </row>
    <row r="93" spans="1:34" s="21" customFormat="1" ht="63">
      <c r="A93" s="502">
        <v>3</v>
      </c>
      <c r="B93" s="494" t="s">
        <v>272</v>
      </c>
      <c r="C93" s="109" t="s">
        <v>61</v>
      </c>
      <c r="D93" s="111" t="s">
        <v>66</v>
      </c>
      <c r="E93" s="111" t="s">
        <v>42</v>
      </c>
      <c r="F93" s="192">
        <v>8049062</v>
      </c>
      <c r="G93" s="114">
        <v>321</v>
      </c>
      <c r="H93" s="112" t="s">
        <v>708</v>
      </c>
      <c r="I93" s="496" t="s">
        <v>709</v>
      </c>
      <c r="J93" s="503" t="s">
        <v>710</v>
      </c>
      <c r="K93" s="504">
        <v>2297</v>
      </c>
      <c r="L93" s="504"/>
      <c r="M93" s="46"/>
      <c r="N93" s="370">
        <f t="shared" si="108"/>
        <v>1467</v>
      </c>
      <c r="O93" s="370"/>
      <c r="P93" s="370"/>
      <c r="Q93" s="370">
        <v>1467</v>
      </c>
      <c r="R93" s="370"/>
      <c r="S93" s="370">
        <f t="shared" si="111"/>
        <v>166.916</v>
      </c>
      <c r="T93" s="370"/>
      <c r="U93" s="370"/>
      <c r="V93" s="370">
        <f>166916000/1000000</f>
        <v>166.916</v>
      </c>
      <c r="W93" s="46"/>
      <c r="X93" s="370">
        <f t="shared" si="109"/>
        <v>1467</v>
      </c>
      <c r="Y93" s="370"/>
      <c r="Z93" s="370"/>
      <c r="AA93" s="370">
        <v>1467</v>
      </c>
      <c r="AB93" s="370"/>
      <c r="AC93" s="370">
        <f t="shared" si="110"/>
        <v>1467</v>
      </c>
      <c r="AD93" s="370"/>
      <c r="AE93" s="370"/>
      <c r="AF93" s="370">
        <v>1467</v>
      </c>
      <c r="AG93" s="370"/>
      <c r="AH93" s="20"/>
    </row>
    <row r="94" spans="1:34" s="21" customFormat="1" ht="63">
      <c r="A94" s="502">
        <v>4</v>
      </c>
      <c r="B94" s="494" t="s">
        <v>711</v>
      </c>
      <c r="C94" s="109" t="s">
        <v>61</v>
      </c>
      <c r="D94" s="111" t="s">
        <v>66</v>
      </c>
      <c r="E94" s="111" t="s">
        <v>42</v>
      </c>
      <c r="F94" s="192">
        <v>8061237</v>
      </c>
      <c r="G94" s="114">
        <v>321</v>
      </c>
      <c r="H94" s="112" t="s">
        <v>712</v>
      </c>
      <c r="I94" s="496" t="s">
        <v>705</v>
      </c>
      <c r="J94" s="503" t="s">
        <v>713</v>
      </c>
      <c r="K94" s="504">
        <v>912</v>
      </c>
      <c r="L94" s="504"/>
      <c r="M94" s="46"/>
      <c r="N94" s="370">
        <f t="shared" si="108"/>
        <v>650</v>
      </c>
      <c r="O94" s="370"/>
      <c r="P94" s="370"/>
      <c r="Q94" s="370">
        <f>900-250</f>
        <v>650</v>
      </c>
      <c r="R94" s="370"/>
      <c r="S94" s="370">
        <f t="shared" si="111"/>
        <v>650</v>
      </c>
      <c r="T94" s="370"/>
      <c r="U94" s="370"/>
      <c r="V94" s="370">
        <f>650000000/1000000</f>
        <v>650</v>
      </c>
      <c r="W94" s="46"/>
      <c r="X94" s="370">
        <f t="shared" si="109"/>
        <v>650</v>
      </c>
      <c r="Y94" s="370"/>
      <c r="Z94" s="370"/>
      <c r="AA94" s="370">
        <f>900-250</f>
        <v>650</v>
      </c>
      <c r="AB94" s="370"/>
      <c r="AC94" s="370">
        <f t="shared" si="110"/>
        <v>650</v>
      </c>
      <c r="AD94" s="370"/>
      <c r="AE94" s="370"/>
      <c r="AF94" s="370">
        <f>900-250</f>
        <v>650</v>
      </c>
      <c r="AG94" s="370"/>
      <c r="AH94" s="20"/>
    </row>
    <row r="95" spans="1:34" s="21" customFormat="1" ht="45">
      <c r="A95" s="502">
        <v>5</v>
      </c>
      <c r="B95" s="494" t="s">
        <v>624</v>
      </c>
      <c r="C95" s="109" t="s">
        <v>61</v>
      </c>
      <c r="D95" s="111" t="s">
        <v>66</v>
      </c>
      <c r="E95" s="111" t="s">
        <v>42</v>
      </c>
      <c r="F95" s="192">
        <v>8080742</v>
      </c>
      <c r="G95" s="114">
        <v>292</v>
      </c>
      <c r="H95" s="112" t="s">
        <v>714</v>
      </c>
      <c r="I95" s="496" t="s">
        <v>709</v>
      </c>
      <c r="J95" s="503" t="s">
        <v>715</v>
      </c>
      <c r="K95" s="504">
        <v>4058</v>
      </c>
      <c r="L95" s="504"/>
      <c r="M95" s="46"/>
      <c r="N95" s="370">
        <f t="shared" si="108"/>
        <v>2420</v>
      </c>
      <c r="O95" s="370"/>
      <c r="P95" s="370"/>
      <c r="Q95" s="370">
        <f>2000+420</f>
        <v>2420</v>
      </c>
      <c r="R95" s="370"/>
      <c r="S95" s="370">
        <f t="shared" si="111"/>
        <v>734.92200000000003</v>
      </c>
      <c r="T95" s="370"/>
      <c r="U95" s="370"/>
      <c r="V95" s="370">
        <f>734922000/1000000</f>
        <v>734.92200000000003</v>
      </c>
      <c r="W95" s="46"/>
      <c r="X95" s="370">
        <f t="shared" si="109"/>
        <v>2420</v>
      </c>
      <c r="Y95" s="370"/>
      <c r="Z95" s="370"/>
      <c r="AA95" s="370">
        <f>2000+420</f>
        <v>2420</v>
      </c>
      <c r="AB95" s="370"/>
      <c r="AC95" s="370">
        <f t="shared" si="110"/>
        <v>2420</v>
      </c>
      <c r="AD95" s="370"/>
      <c r="AE95" s="370"/>
      <c r="AF95" s="370">
        <f>2000+420</f>
        <v>2420</v>
      </c>
      <c r="AG95" s="370"/>
      <c r="AH95" s="20"/>
    </row>
    <row r="96" spans="1:34" s="21" customFormat="1" ht="63">
      <c r="A96" s="502">
        <v>6</v>
      </c>
      <c r="B96" s="494" t="s">
        <v>716</v>
      </c>
      <c r="C96" s="109" t="s">
        <v>61</v>
      </c>
      <c r="D96" s="111" t="s">
        <v>66</v>
      </c>
      <c r="E96" s="111" t="s">
        <v>42</v>
      </c>
      <c r="F96" s="192">
        <v>8061242</v>
      </c>
      <c r="G96" s="114">
        <v>292</v>
      </c>
      <c r="H96" s="112" t="s">
        <v>717</v>
      </c>
      <c r="I96" s="496" t="s">
        <v>709</v>
      </c>
      <c r="J96" s="503" t="s">
        <v>549</v>
      </c>
      <c r="K96" s="504">
        <v>4553</v>
      </c>
      <c r="L96" s="504"/>
      <c r="M96" s="46"/>
      <c r="N96" s="370">
        <f t="shared" si="108"/>
        <v>3683</v>
      </c>
      <c r="O96" s="370"/>
      <c r="P96" s="370"/>
      <c r="Q96" s="370">
        <v>3683</v>
      </c>
      <c r="R96" s="370"/>
      <c r="S96" s="370">
        <f t="shared" si="111"/>
        <v>3500</v>
      </c>
      <c r="T96" s="370"/>
      <c r="U96" s="370"/>
      <c r="V96" s="370">
        <v>3500</v>
      </c>
      <c r="W96" s="46"/>
      <c r="X96" s="370">
        <f t="shared" si="109"/>
        <v>3683</v>
      </c>
      <c r="Y96" s="370"/>
      <c r="Z96" s="370"/>
      <c r="AA96" s="370">
        <v>3683</v>
      </c>
      <c r="AB96" s="370"/>
      <c r="AC96" s="370">
        <f t="shared" si="110"/>
        <v>3683</v>
      </c>
      <c r="AD96" s="370"/>
      <c r="AE96" s="370"/>
      <c r="AF96" s="370">
        <v>3683</v>
      </c>
      <c r="AG96" s="370"/>
      <c r="AH96" s="20"/>
    </row>
    <row r="97" spans="1:34">
      <c r="A97" s="200">
        <v>3</v>
      </c>
      <c r="B97" s="201" t="s">
        <v>57</v>
      </c>
      <c r="C97" s="200"/>
      <c r="D97" s="200"/>
      <c r="E97" s="200"/>
      <c r="F97" s="200"/>
      <c r="G97" s="200"/>
      <c r="H97" s="200"/>
      <c r="I97" s="200"/>
      <c r="J97" s="200"/>
      <c r="K97" s="97">
        <f>K98+K101</f>
        <v>69309</v>
      </c>
      <c r="L97" s="97">
        <f t="shared" ref="L97:W97" si="112">L98+L101</f>
        <v>6824</v>
      </c>
      <c r="M97" s="97">
        <f t="shared" si="112"/>
        <v>0</v>
      </c>
      <c r="N97" s="645">
        <f t="shared" si="112"/>
        <v>25740</v>
      </c>
      <c r="O97" s="645">
        <f t="shared" si="112"/>
        <v>0</v>
      </c>
      <c r="P97" s="645">
        <f t="shared" si="112"/>
        <v>0</v>
      </c>
      <c r="Q97" s="645">
        <f t="shared" si="112"/>
        <v>25740</v>
      </c>
      <c r="R97" s="645">
        <f t="shared" si="112"/>
        <v>0</v>
      </c>
      <c r="S97" s="645">
        <f t="shared" si="112"/>
        <v>20644.766</v>
      </c>
      <c r="T97" s="645">
        <f t="shared" si="112"/>
        <v>0</v>
      </c>
      <c r="U97" s="645">
        <f t="shared" si="112"/>
        <v>0</v>
      </c>
      <c r="V97" s="645">
        <f t="shared" si="112"/>
        <v>20644.766</v>
      </c>
      <c r="W97" s="97">
        <f t="shared" si="112"/>
        <v>0</v>
      </c>
      <c r="X97" s="645">
        <f t="shared" ref="X97:AB97" si="113">X98+X101</f>
        <v>25740</v>
      </c>
      <c r="Y97" s="645">
        <f t="shared" si="113"/>
        <v>0</v>
      </c>
      <c r="Z97" s="645">
        <f t="shared" si="113"/>
        <v>0</v>
      </c>
      <c r="AA97" s="645">
        <f t="shared" si="113"/>
        <v>25740</v>
      </c>
      <c r="AB97" s="645">
        <f t="shared" si="113"/>
        <v>0</v>
      </c>
      <c r="AC97" s="645">
        <f t="shared" ref="AC97:AG97" si="114">AC98+AC101</f>
        <v>25740</v>
      </c>
      <c r="AD97" s="645">
        <f t="shared" si="114"/>
        <v>0</v>
      </c>
      <c r="AE97" s="645">
        <f t="shared" si="114"/>
        <v>0</v>
      </c>
      <c r="AF97" s="645">
        <f t="shared" si="114"/>
        <v>25740</v>
      </c>
      <c r="AG97" s="645">
        <f t="shared" si="114"/>
        <v>0</v>
      </c>
      <c r="AH97" s="98"/>
    </row>
    <row r="98" spans="1:34">
      <c r="A98" s="95"/>
      <c r="B98" s="96" t="s">
        <v>36</v>
      </c>
      <c r="C98" s="95"/>
      <c r="D98" s="95"/>
      <c r="E98" s="95"/>
      <c r="F98" s="95"/>
      <c r="G98" s="95"/>
      <c r="H98" s="95"/>
      <c r="I98" s="95"/>
      <c r="J98" s="95"/>
      <c r="K98" s="97">
        <f>SUM(K99:K100)</f>
        <v>31435</v>
      </c>
      <c r="L98" s="97">
        <f t="shared" ref="L98" si="115">SUM(L99:L100)</f>
        <v>1824</v>
      </c>
      <c r="M98" s="93">
        <f>SUM(M99:M100)</f>
        <v>0</v>
      </c>
      <c r="N98" s="645">
        <f t="shared" ref="N98:V98" si="116">SUM(N99:N100)</f>
        <v>5760</v>
      </c>
      <c r="O98" s="630">
        <f t="shared" si="116"/>
        <v>0</v>
      </c>
      <c r="P98" s="630">
        <f t="shared" si="116"/>
        <v>0</v>
      </c>
      <c r="Q98" s="645">
        <f t="shared" si="116"/>
        <v>5760</v>
      </c>
      <c r="R98" s="630">
        <f t="shared" si="116"/>
        <v>0</v>
      </c>
      <c r="S98" s="630">
        <f t="shared" si="116"/>
        <v>4247.335</v>
      </c>
      <c r="T98" s="630">
        <f t="shared" si="116"/>
        <v>0</v>
      </c>
      <c r="U98" s="630">
        <f t="shared" si="116"/>
        <v>0</v>
      </c>
      <c r="V98" s="630">
        <f t="shared" si="116"/>
        <v>4247.335</v>
      </c>
      <c r="W98" s="93">
        <f t="shared" ref="W98:AB98" si="117">SUM(W99:W100)</f>
        <v>0</v>
      </c>
      <c r="X98" s="645">
        <f t="shared" si="117"/>
        <v>5760</v>
      </c>
      <c r="Y98" s="630">
        <f t="shared" si="117"/>
        <v>0</v>
      </c>
      <c r="Z98" s="630">
        <f t="shared" si="117"/>
        <v>0</v>
      </c>
      <c r="AA98" s="645">
        <f t="shared" si="117"/>
        <v>5760</v>
      </c>
      <c r="AB98" s="630">
        <f t="shared" si="117"/>
        <v>0</v>
      </c>
      <c r="AC98" s="645">
        <f t="shared" ref="AC98:AG98" si="118">SUM(AC99:AC100)</f>
        <v>5760</v>
      </c>
      <c r="AD98" s="630">
        <f t="shared" si="118"/>
        <v>0</v>
      </c>
      <c r="AE98" s="630">
        <f t="shared" si="118"/>
        <v>0</v>
      </c>
      <c r="AF98" s="645">
        <f t="shared" si="118"/>
        <v>5760</v>
      </c>
      <c r="AG98" s="630">
        <f t="shared" si="118"/>
        <v>0</v>
      </c>
      <c r="AH98" s="98"/>
    </row>
    <row r="99" spans="1:34" s="21" customFormat="1" ht="60">
      <c r="A99" s="502">
        <v>1</v>
      </c>
      <c r="B99" s="494" t="s">
        <v>71</v>
      </c>
      <c r="C99" s="109" t="s">
        <v>47</v>
      </c>
      <c r="D99" s="111" t="s">
        <v>277</v>
      </c>
      <c r="E99" s="111" t="s">
        <v>52</v>
      </c>
      <c r="F99" s="192">
        <v>7917536</v>
      </c>
      <c r="G99" s="114">
        <v>292</v>
      </c>
      <c r="H99" s="112" t="s">
        <v>73</v>
      </c>
      <c r="I99" s="496" t="s">
        <v>48</v>
      </c>
      <c r="J99" s="503" t="s">
        <v>72</v>
      </c>
      <c r="K99" s="504">
        <v>20058</v>
      </c>
      <c r="L99" s="504">
        <v>970</v>
      </c>
      <c r="M99" s="46"/>
      <c r="N99" s="369">
        <f>SUM(O99:R99)</f>
        <v>4000</v>
      </c>
      <c r="O99" s="369"/>
      <c r="P99" s="369"/>
      <c r="Q99" s="369">
        <v>4000</v>
      </c>
      <c r="R99" s="369"/>
      <c r="S99" s="369">
        <f>SUM(T99:W99)</f>
        <v>2495.4110000000001</v>
      </c>
      <c r="T99" s="369"/>
      <c r="U99" s="369"/>
      <c r="V99" s="369">
        <f>2495411000/1000000</f>
        <v>2495.4110000000001</v>
      </c>
      <c r="W99" s="46"/>
      <c r="X99" s="369">
        <f>SUM(Y99:AB99)</f>
        <v>4000</v>
      </c>
      <c r="Y99" s="369"/>
      <c r="Z99" s="369"/>
      <c r="AA99" s="369">
        <v>4000</v>
      </c>
      <c r="AB99" s="369"/>
      <c r="AC99" s="369">
        <f>SUM(AD99:AG99)</f>
        <v>4000</v>
      </c>
      <c r="AD99" s="369"/>
      <c r="AE99" s="369"/>
      <c r="AF99" s="369">
        <v>4000</v>
      </c>
      <c r="AG99" s="369"/>
      <c r="AH99" s="20"/>
    </row>
    <row r="100" spans="1:34" s="21" customFormat="1" ht="60">
      <c r="A100" s="502">
        <v>2</v>
      </c>
      <c r="B100" s="494" t="s">
        <v>134</v>
      </c>
      <c r="C100" s="109" t="s">
        <v>47</v>
      </c>
      <c r="D100" s="111" t="s">
        <v>278</v>
      </c>
      <c r="E100" s="111" t="s">
        <v>52</v>
      </c>
      <c r="F100" s="192">
        <v>8012044</v>
      </c>
      <c r="G100" s="114">
        <v>292</v>
      </c>
      <c r="H100" s="112" t="s">
        <v>73</v>
      </c>
      <c r="I100" s="496" t="s">
        <v>80</v>
      </c>
      <c r="J100" s="503" t="s">
        <v>72</v>
      </c>
      <c r="K100" s="504">
        <v>11377</v>
      </c>
      <c r="L100" s="504">
        <v>854</v>
      </c>
      <c r="M100" s="46"/>
      <c r="N100" s="463">
        <f>SUM(O100:R100)</f>
        <v>1760</v>
      </c>
      <c r="O100" s="463"/>
      <c r="P100" s="463"/>
      <c r="Q100" s="463">
        <v>1760</v>
      </c>
      <c r="R100" s="463"/>
      <c r="S100" s="463">
        <f>SUM(T100:W100)</f>
        <v>1751.924</v>
      </c>
      <c r="T100" s="463"/>
      <c r="U100" s="463"/>
      <c r="V100" s="463">
        <f>1751924000/1000000</f>
        <v>1751.924</v>
      </c>
      <c r="W100" s="46"/>
      <c r="X100" s="463">
        <f>SUM(Y100:AB100)</f>
        <v>1760</v>
      </c>
      <c r="Y100" s="463"/>
      <c r="Z100" s="463"/>
      <c r="AA100" s="463">
        <v>1760</v>
      </c>
      <c r="AB100" s="463"/>
      <c r="AC100" s="463">
        <f>SUM(AD100:AG100)</f>
        <v>1760</v>
      </c>
      <c r="AD100" s="463"/>
      <c r="AE100" s="463"/>
      <c r="AF100" s="463">
        <v>1760</v>
      </c>
      <c r="AG100" s="463"/>
      <c r="AH100" s="20"/>
    </row>
    <row r="101" spans="1:34">
      <c r="A101" s="95"/>
      <c r="B101" s="96" t="s">
        <v>56</v>
      </c>
      <c r="C101" s="95"/>
      <c r="D101" s="95"/>
      <c r="E101" s="95"/>
      <c r="F101" s="95"/>
      <c r="G101" s="95"/>
      <c r="H101" s="95"/>
      <c r="I101" s="95"/>
      <c r="J101" s="95"/>
      <c r="K101" s="97">
        <f>SUM(K102:K102)</f>
        <v>37874</v>
      </c>
      <c r="L101" s="97">
        <f t="shared" ref="L101:AG101" si="119">SUM(L102:L102)</f>
        <v>5000</v>
      </c>
      <c r="M101" s="97">
        <f t="shared" si="119"/>
        <v>0</v>
      </c>
      <c r="N101" s="645">
        <f t="shared" si="119"/>
        <v>19980</v>
      </c>
      <c r="O101" s="645">
        <f t="shared" si="119"/>
        <v>0</v>
      </c>
      <c r="P101" s="645">
        <f t="shared" si="119"/>
        <v>0</v>
      </c>
      <c r="Q101" s="645">
        <f t="shared" si="119"/>
        <v>19980</v>
      </c>
      <c r="R101" s="645">
        <f t="shared" si="119"/>
        <v>0</v>
      </c>
      <c r="S101" s="645">
        <f t="shared" si="119"/>
        <v>16397.431</v>
      </c>
      <c r="T101" s="645">
        <f t="shared" si="119"/>
        <v>0</v>
      </c>
      <c r="U101" s="645">
        <f t="shared" si="119"/>
        <v>0</v>
      </c>
      <c r="V101" s="645">
        <f t="shared" si="119"/>
        <v>16397.431</v>
      </c>
      <c r="W101" s="97">
        <f t="shared" si="119"/>
        <v>0</v>
      </c>
      <c r="X101" s="645">
        <f t="shared" si="119"/>
        <v>19980</v>
      </c>
      <c r="Y101" s="645">
        <f t="shared" si="119"/>
        <v>0</v>
      </c>
      <c r="Z101" s="645">
        <f t="shared" si="119"/>
        <v>0</v>
      </c>
      <c r="AA101" s="645">
        <f t="shared" si="119"/>
        <v>19980</v>
      </c>
      <c r="AB101" s="645">
        <f t="shared" si="119"/>
        <v>0</v>
      </c>
      <c r="AC101" s="645">
        <f t="shared" si="119"/>
        <v>19980</v>
      </c>
      <c r="AD101" s="645">
        <f t="shared" si="119"/>
        <v>0</v>
      </c>
      <c r="AE101" s="645">
        <f t="shared" si="119"/>
        <v>0</v>
      </c>
      <c r="AF101" s="645">
        <f t="shared" si="119"/>
        <v>19980</v>
      </c>
      <c r="AG101" s="645">
        <f t="shared" si="119"/>
        <v>0</v>
      </c>
      <c r="AH101" s="98"/>
    </row>
    <row r="102" spans="1:34" s="21" customFormat="1" ht="60">
      <c r="A102" s="502">
        <v>1</v>
      </c>
      <c r="B102" s="494" t="s">
        <v>275</v>
      </c>
      <c r="C102" s="109" t="s">
        <v>47</v>
      </c>
      <c r="D102" s="111" t="s">
        <v>276</v>
      </c>
      <c r="E102" s="111" t="s">
        <v>52</v>
      </c>
      <c r="F102" s="192">
        <v>8017212</v>
      </c>
      <c r="G102" s="114">
        <v>292</v>
      </c>
      <c r="H102" s="112" t="s">
        <v>73</v>
      </c>
      <c r="I102" s="496" t="s">
        <v>279</v>
      </c>
      <c r="J102" s="503" t="s">
        <v>72</v>
      </c>
      <c r="K102" s="504">
        <v>37874</v>
      </c>
      <c r="L102" s="504">
        <v>5000</v>
      </c>
      <c r="M102" s="46"/>
      <c r="N102" s="641">
        <f>SUM(O102:R102)</f>
        <v>19980</v>
      </c>
      <c r="O102" s="641"/>
      <c r="P102" s="641"/>
      <c r="Q102" s="647">
        <f>19540+440</f>
        <v>19980</v>
      </c>
      <c r="R102" s="641"/>
      <c r="S102" s="641">
        <f>SUM(T102:W102)</f>
        <v>16397.431</v>
      </c>
      <c r="T102" s="641"/>
      <c r="U102" s="641"/>
      <c r="V102" s="480">
        <f>16397431000/1000000</f>
        <v>16397.431</v>
      </c>
      <c r="W102" s="46"/>
      <c r="X102" s="641">
        <f>SUM(Y102:AB102)</f>
        <v>19980</v>
      </c>
      <c r="Y102" s="641"/>
      <c r="Z102" s="641"/>
      <c r="AA102" s="647">
        <f>19540+440</f>
        <v>19980</v>
      </c>
      <c r="AB102" s="641"/>
      <c r="AC102" s="641">
        <f>SUM(AD102:AG102)</f>
        <v>19980</v>
      </c>
      <c r="AD102" s="641"/>
      <c r="AE102" s="641"/>
      <c r="AF102" s="647">
        <f>19540+440</f>
        <v>19980</v>
      </c>
      <c r="AG102" s="641"/>
      <c r="AH102" s="20"/>
    </row>
    <row r="103" spans="1:34" ht="63">
      <c r="A103" s="169">
        <v>4</v>
      </c>
      <c r="B103" s="184" t="s">
        <v>152</v>
      </c>
      <c r="C103" s="184"/>
      <c r="D103" s="185"/>
      <c r="E103" s="185"/>
      <c r="F103" s="185"/>
      <c r="G103" s="185"/>
      <c r="H103" s="185"/>
      <c r="I103" s="185"/>
      <c r="J103" s="185"/>
      <c r="K103" s="186">
        <f>K104+K110</f>
        <v>35119.123</v>
      </c>
      <c r="L103" s="186">
        <f t="shared" ref="L103:W103" si="120">L104+L110</f>
        <v>1099.7649980000001</v>
      </c>
      <c r="M103" s="186">
        <f t="shared" si="120"/>
        <v>0</v>
      </c>
      <c r="N103" s="648">
        <f t="shared" si="120"/>
        <v>12795</v>
      </c>
      <c r="O103" s="648">
        <f t="shared" si="120"/>
        <v>0</v>
      </c>
      <c r="P103" s="648">
        <f t="shared" si="120"/>
        <v>0</v>
      </c>
      <c r="Q103" s="648">
        <f t="shared" si="120"/>
        <v>12795</v>
      </c>
      <c r="R103" s="648">
        <f t="shared" si="120"/>
        <v>0</v>
      </c>
      <c r="S103" s="648">
        <f t="shared" si="120"/>
        <v>11586.025</v>
      </c>
      <c r="T103" s="648">
        <f t="shared" si="120"/>
        <v>0</v>
      </c>
      <c r="U103" s="648">
        <f t="shared" si="120"/>
        <v>0</v>
      </c>
      <c r="V103" s="648">
        <f t="shared" si="120"/>
        <v>11586.025</v>
      </c>
      <c r="W103" s="186">
        <f t="shared" si="120"/>
        <v>0</v>
      </c>
      <c r="X103" s="648">
        <f t="shared" ref="X103:AB103" si="121">X104+X110</f>
        <v>12795</v>
      </c>
      <c r="Y103" s="648">
        <f t="shared" si="121"/>
        <v>0</v>
      </c>
      <c r="Z103" s="648">
        <f t="shared" si="121"/>
        <v>0</v>
      </c>
      <c r="AA103" s="648">
        <f t="shared" si="121"/>
        <v>12795</v>
      </c>
      <c r="AB103" s="648">
        <f t="shared" si="121"/>
        <v>0</v>
      </c>
      <c r="AC103" s="648">
        <f t="shared" ref="AC103:AG103" si="122">AC104+AC110</f>
        <v>12795</v>
      </c>
      <c r="AD103" s="648">
        <f t="shared" si="122"/>
        <v>0</v>
      </c>
      <c r="AE103" s="648">
        <f t="shared" si="122"/>
        <v>0</v>
      </c>
      <c r="AF103" s="648">
        <f t="shared" si="122"/>
        <v>12795</v>
      </c>
      <c r="AG103" s="648">
        <f t="shared" si="122"/>
        <v>0</v>
      </c>
      <c r="AH103" s="98"/>
    </row>
    <row r="104" spans="1:34">
      <c r="A104" s="205" t="s">
        <v>280</v>
      </c>
      <c r="B104" s="184" t="s">
        <v>36</v>
      </c>
      <c r="C104" s="184"/>
      <c r="D104" s="185"/>
      <c r="E104" s="14"/>
      <c r="F104" s="185"/>
      <c r="G104" s="185"/>
      <c r="H104" s="185"/>
      <c r="I104" s="14"/>
      <c r="J104" s="14"/>
      <c r="K104" s="186">
        <f>SUM(K105:K109)</f>
        <v>15786.123000000001</v>
      </c>
      <c r="L104" s="186">
        <f t="shared" ref="L104:AH104" si="123">SUM(L105:L109)</f>
        <v>571.76499799999999</v>
      </c>
      <c r="M104" s="186">
        <f t="shared" si="123"/>
        <v>0</v>
      </c>
      <c r="N104" s="645">
        <f t="shared" si="123"/>
        <v>3095</v>
      </c>
      <c r="O104" s="645">
        <f t="shared" si="123"/>
        <v>0</v>
      </c>
      <c r="P104" s="645">
        <f t="shared" si="123"/>
        <v>0</v>
      </c>
      <c r="Q104" s="645">
        <f t="shared" si="123"/>
        <v>3095</v>
      </c>
      <c r="R104" s="645">
        <f t="shared" si="123"/>
        <v>0</v>
      </c>
      <c r="S104" s="645">
        <f t="shared" si="123"/>
        <v>3095</v>
      </c>
      <c r="T104" s="645">
        <f t="shared" si="123"/>
        <v>0</v>
      </c>
      <c r="U104" s="645">
        <f t="shared" si="123"/>
        <v>0</v>
      </c>
      <c r="V104" s="645">
        <f t="shared" si="123"/>
        <v>3095</v>
      </c>
      <c r="W104" s="186">
        <f t="shared" si="123"/>
        <v>0</v>
      </c>
      <c r="X104" s="645">
        <f t="shared" ref="X104:AB104" si="124">SUM(X105:X109)</f>
        <v>3095</v>
      </c>
      <c r="Y104" s="645">
        <f t="shared" si="124"/>
        <v>0</v>
      </c>
      <c r="Z104" s="645">
        <f t="shared" si="124"/>
        <v>0</v>
      </c>
      <c r="AA104" s="645">
        <f t="shared" si="124"/>
        <v>3095</v>
      </c>
      <c r="AB104" s="645">
        <f t="shared" si="124"/>
        <v>0</v>
      </c>
      <c r="AC104" s="645">
        <f t="shared" ref="AC104:AG104" si="125">SUM(AC105:AC109)</f>
        <v>3095</v>
      </c>
      <c r="AD104" s="645">
        <f t="shared" si="125"/>
        <v>0</v>
      </c>
      <c r="AE104" s="645">
        <f t="shared" si="125"/>
        <v>0</v>
      </c>
      <c r="AF104" s="645">
        <f t="shared" si="125"/>
        <v>3095</v>
      </c>
      <c r="AG104" s="645">
        <f t="shared" si="125"/>
        <v>0</v>
      </c>
      <c r="AH104" s="186">
        <f t="shared" si="123"/>
        <v>0</v>
      </c>
    </row>
    <row r="105" spans="1:34" s="21" customFormat="1" ht="47.25">
      <c r="A105" s="508">
        <v>1</v>
      </c>
      <c r="B105" s="509" t="s">
        <v>149</v>
      </c>
      <c r="C105" s="176" t="s">
        <v>133</v>
      </c>
      <c r="D105" s="219" t="s">
        <v>154</v>
      </c>
      <c r="E105" s="14" t="s">
        <v>52</v>
      </c>
      <c r="F105" s="113">
        <v>7980929</v>
      </c>
      <c r="G105" s="220">
        <v>41</v>
      </c>
      <c r="H105" s="110" t="s">
        <v>151</v>
      </c>
      <c r="I105" s="112" t="s">
        <v>153</v>
      </c>
      <c r="J105" s="176" t="s">
        <v>150</v>
      </c>
      <c r="K105" s="510">
        <v>3170.7060000000001</v>
      </c>
      <c r="L105" s="510">
        <v>0</v>
      </c>
      <c r="M105" s="46"/>
      <c r="N105" s="370">
        <f>SUM(O105:R105)</f>
        <v>1100</v>
      </c>
      <c r="O105" s="370"/>
      <c r="P105" s="370"/>
      <c r="Q105" s="370">
        <v>1100</v>
      </c>
      <c r="R105" s="370"/>
      <c r="S105" s="370">
        <f>SUM(T105:W105)</f>
        <v>1100</v>
      </c>
      <c r="T105" s="370"/>
      <c r="U105" s="370"/>
      <c r="V105" s="370">
        <v>1100</v>
      </c>
      <c r="W105" s="116"/>
      <c r="X105" s="370">
        <f>SUM(Y105:AB105)</f>
        <v>1100</v>
      </c>
      <c r="Y105" s="370"/>
      <c r="Z105" s="370"/>
      <c r="AA105" s="370">
        <v>1100</v>
      </c>
      <c r="AB105" s="370"/>
      <c r="AC105" s="370">
        <f>SUM(AD105:AG105)</f>
        <v>1100</v>
      </c>
      <c r="AD105" s="370"/>
      <c r="AE105" s="370"/>
      <c r="AF105" s="370">
        <v>1100</v>
      </c>
      <c r="AG105" s="370"/>
      <c r="AH105" s="20"/>
    </row>
    <row r="106" spans="1:34" s="21" customFormat="1" ht="63">
      <c r="A106" s="508">
        <v>2</v>
      </c>
      <c r="B106" s="509" t="s">
        <v>135</v>
      </c>
      <c r="C106" s="176" t="s">
        <v>61</v>
      </c>
      <c r="D106" s="219" t="s">
        <v>146</v>
      </c>
      <c r="E106" s="14" t="s">
        <v>52</v>
      </c>
      <c r="F106" s="113">
        <v>7984288</v>
      </c>
      <c r="G106" s="220">
        <v>41</v>
      </c>
      <c r="H106" s="110" t="s">
        <v>143</v>
      </c>
      <c r="I106" s="511" t="s">
        <v>153</v>
      </c>
      <c r="J106" s="176" t="s">
        <v>139</v>
      </c>
      <c r="K106" s="510">
        <v>3156.94</v>
      </c>
      <c r="L106" s="510">
        <v>150.33048499999998</v>
      </c>
      <c r="M106" s="46"/>
      <c r="N106" s="370">
        <f>SUM(O106:R106)</f>
        <v>400</v>
      </c>
      <c r="O106" s="370"/>
      <c r="P106" s="370"/>
      <c r="Q106" s="370">
        <v>400</v>
      </c>
      <c r="R106" s="370"/>
      <c r="S106" s="370">
        <f>SUM(T106:W106)</f>
        <v>400</v>
      </c>
      <c r="T106" s="370"/>
      <c r="U106" s="370"/>
      <c r="V106" s="370">
        <v>400</v>
      </c>
      <c r="W106" s="116"/>
      <c r="X106" s="370">
        <f>SUM(Y106:AB106)</f>
        <v>400</v>
      </c>
      <c r="Y106" s="370"/>
      <c r="Z106" s="370"/>
      <c r="AA106" s="370">
        <v>400</v>
      </c>
      <c r="AB106" s="370"/>
      <c r="AC106" s="370">
        <f>SUM(AD106:AG106)</f>
        <v>400</v>
      </c>
      <c r="AD106" s="370"/>
      <c r="AE106" s="370"/>
      <c r="AF106" s="370">
        <v>400</v>
      </c>
      <c r="AG106" s="370"/>
      <c r="AH106" s="20"/>
    </row>
    <row r="107" spans="1:34" s="21" customFormat="1" ht="63">
      <c r="A107" s="508">
        <v>3</v>
      </c>
      <c r="B107" s="509" t="s">
        <v>136</v>
      </c>
      <c r="C107" s="176" t="s">
        <v>61</v>
      </c>
      <c r="D107" s="219" t="s">
        <v>148</v>
      </c>
      <c r="E107" s="14" t="s">
        <v>52</v>
      </c>
      <c r="F107" s="113">
        <v>7984292</v>
      </c>
      <c r="G107" s="220">
        <v>41</v>
      </c>
      <c r="H107" s="110" t="s">
        <v>147</v>
      </c>
      <c r="I107" s="511" t="s">
        <v>153</v>
      </c>
      <c r="J107" s="176" t="s">
        <v>140</v>
      </c>
      <c r="K107" s="510">
        <v>3163.431</v>
      </c>
      <c r="L107" s="510">
        <v>121.67041499999999</v>
      </c>
      <c r="M107" s="46"/>
      <c r="N107" s="370">
        <f>SUM(O107:R107)</f>
        <v>600</v>
      </c>
      <c r="O107" s="370"/>
      <c r="P107" s="370"/>
      <c r="Q107" s="370">
        <v>600</v>
      </c>
      <c r="R107" s="370"/>
      <c r="S107" s="370">
        <f>SUM(T107:W107)</f>
        <v>600</v>
      </c>
      <c r="T107" s="370"/>
      <c r="U107" s="370"/>
      <c r="V107" s="370">
        <v>600</v>
      </c>
      <c r="W107" s="116"/>
      <c r="X107" s="370">
        <f>SUM(Y107:AB107)</f>
        <v>600</v>
      </c>
      <c r="Y107" s="370"/>
      <c r="Z107" s="370"/>
      <c r="AA107" s="370">
        <v>600</v>
      </c>
      <c r="AB107" s="370"/>
      <c r="AC107" s="370">
        <f>SUM(AD107:AG107)</f>
        <v>600</v>
      </c>
      <c r="AD107" s="370"/>
      <c r="AE107" s="370"/>
      <c r="AF107" s="370">
        <v>600</v>
      </c>
      <c r="AG107" s="370"/>
      <c r="AH107" s="20"/>
    </row>
    <row r="108" spans="1:34" s="21" customFormat="1" ht="63">
      <c r="A108" s="508">
        <v>4</v>
      </c>
      <c r="B108" s="509" t="s">
        <v>137</v>
      </c>
      <c r="C108" s="176" t="s">
        <v>61</v>
      </c>
      <c r="D108" s="219" t="s">
        <v>101</v>
      </c>
      <c r="E108" s="14" t="s">
        <v>52</v>
      </c>
      <c r="F108" s="113">
        <v>7984290</v>
      </c>
      <c r="G108" s="220">
        <v>41</v>
      </c>
      <c r="H108" s="110" t="s">
        <v>144</v>
      </c>
      <c r="I108" s="511" t="s">
        <v>153</v>
      </c>
      <c r="J108" s="176" t="s">
        <v>141</v>
      </c>
      <c r="K108" s="510">
        <v>3157.1790000000001</v>
      </c>
      <c r="L108" s="510">
        <v>150.341848</v>
      </c>
      <c r="M108" s="46"/>
      <c r="N108" s="370">
        <f>SUM(O108:R108)</f>
        <v>600</v>
      </c>
      <c r="O108" s="370"/>
      <c r="P108" s="370"/>
      <c r="Q108" s="370">
        <v>600</v>
      </c>
      <c r="R108" s="370"/>
      <c r="S108" s="370">
        <f>SUM(T108:W108)</f>
        <v>600</v>
      </c>
      <c r="T108" s="370"/>
      <c r="U108" s="370"/>
      <c r="V108" s="370">
        <v>600</v>
      </c>
      <c r="W108" s="116"/>
      <c r="X108" s="370">
        <f>SUM(Y108:AB108)</f>
        <v>600</v>
      </c>
      <c r="Y108" s="370"/>
      <c r="Z108" s="370"/>
      <c r="AA108" s="370">
        <v>600</v>
      </c>
      <c r="AB108" s="370"/>
      <c r="AC108" s="370">
        <f>SUM(AD108:AG108)</f>
        <v>600</v>
      </c>
      <c r="AD108" s="370"/>
      <c r="AE108" s="370"/>
      <c r="AF108" s="370">
        <v>600</v>
      </c>
      <c r="AG108" s="370"/>
      <c r="AH108" s="20"/>
    </row>
    <row r="109" spans="1:34" s="21" customFormat="1" ht="63">
      <c r="A109" s="508">
        <v>5</v>
      </c>
      <c r="B109" s="509" t="s">
        <v>138</v>
      </c>
      <c r="C109" s="176" t="s">
        <v>61</v>
      </c>
      <c r="D109" s="219" t="s">
        <v>155</v>
      </c>
      <c r="E109" s="14" t="s">
        <v>52</v>
      </c>
      <c r="F109" s="113">
        <v>7984069</v>
      </c>
      <c r="G109" s="220">
        <v>41</v>
      </c>
      <c r="H109" s="110" t="s">
        <v>143</v>
      </c>
      <c r="I109" s="511" t="s">
        <v>153</v>
      </c>
      <c r="J109" s="176" t="s">
        <v>142</v>
      </c>
      <c r="K109" s="510">
        <v>3137.8670000000002</v>
      </c>
      <c r="L109" s="510">
        <v>149.42224999999999</v>
      </c>
      <c r="M109" s="46"/>
      <c r="N109" s="370">
        <f>SUM(O109:R109)</f>
        <v>395</v>
      </c>
      <c r="O109" s="370"/>
      <c r="P109" s="370"/>
      <c r="Q109" s="370">
        <v>395</v>
      </c>
      <c r="R109" s="370"/>
      <c r="S109" s="370">
        <f>SUM(T109:W109)</f>
        <v>395</v>
      </c>
      <c r="T109" s="370"/>
      <c r="U109" s="370"/>
      <c r="V109" s="370">
        <v>395</v>
      </c>
      <c r="W109" s="116"/>
      <c r="X109" s="370">
        <f>SUM(Y109:AB109)</f>
        <v>395</v>
      </c>
      <c r="Y109" s="370"/>
      <c r="Z109" s="370"/>
      <c r="AA109" s="370">
        <v>395</v>
      </c>
      <c r="AB109" s="370"/>
      <c r="AC109" s="370">
        <f>SUM(AD109:AG109)</f>
        <v>395</v>
      </c>
      <c r="AD109" s="370"/>
      <c r="AE109" s="370"/>
      <c r="AF109" s="370">
        <v>395</v>
      </c>
      <c r="AG109" s="370"/>
      <c r="AH109" s="20"/>
    </row>
    <row r="110" spans="1:34">
      <c r="A110" s="205" t="s">
        <v>280</v>
      </c>
      <c r="B110" s="206" t="s">
        <v>281</v>
      </c>
      <c r="C110" s="184"/>
      <c r="D110" s="184"/>
      <c r="E110" s="14"/>
      <c r="F110" s="184"/>
      <c r="G110" s="184"/>
      <c r="H110" s="184"/>
      <c r="I110" s="169"/>
      <c r="J110" s="169"/>
      <c r="K110" s="169">
        <f>SUM(K111:K116)</f>
        <v>19333</v>
      </c>
      <c r="L110" s="169">
        <f t="shared" ref="L110:AH110" si="126">SUM(L111:L116)</f>
        <v>528</v>
      </c>
      <c r="M110" s="169">
        <f t="shared" si="126"/>
        <v>0</v>
      </c>
      <c r="N110" s="645">
        <f t="shared" si="126"/>
        <v>9700</v>
      </c>
      <c r="O110" s="645">
        <f t="shared" si="126"/>
        <v>0</v>
      </c>
      <c r="P110" s="645">
        <f t="shared" si="126"/>
        <v>0</v>
      </c>
      <c r="Q110" s="645">
        <f t="shared" si="126"/>
        <v>9700</v>
      </c>
      <c r="R110" s="645">
        <f t="shared" si="126"/>
        <v>0</v>
      </c>
      <c r="S110" s="645">
        <f t="shared" si="126"/>
        <v>8491.0249999999996</v>
      </c>
      <c r="T110" s="645">
        <f t="shared" si="126"/>
        <v>0</v>
      </c>
      <c r="U110" s="645">
        <f t="shared" si="126"/>
        <v>0</v>
      </c>
      <c r="V110" s="645">
        <f t="shared" si="126"/>
        <v>8491.0249999999996</v>
      </c>
      <c r="W110" s="169">
        <f t="shared" si="126"/>
        <v>0</v>
      </c>
      <c r="X110" s="645">
        <f t="shared" ref="X110:AB110" si="127">SUM(X111:X116)</f>
        <v>9700</v>
      </c>
      <c r="Y110" s="645">
        <f t="shared" si="127"/>
        <v>0</v>
      </c>
      <c r="Z110" s="645">
        <f t="shared" si="127"/>
        <v>0</v>
      </c>
      <c r="AA110" s="645">
        <f t="shared" si="127"/>
        <v>9700</v>
      </c>
      <c r="AB110" s="645">
        <f t="shared" si="127"/>
        <v>0</v>
      </c>
      <c r="AC110" s="645">
        <f t="shared" ref="AC110:AG110" si="128">SUM(AC111:AC116)</f>
        <v>9700</v>
      </c>
      <c r="AD110" s="645">
        <f t="shared" si="128"/>
        <v>0</v>
      </c>
      <c r="AE110" s="645">
        <f t="shared" si="128"/>
        <v>0</v>
      </c>
      <c r="AF110" s="645">
        <f t="shared" si="128"/>
        <v>9700</v>
      </c>
      <c r="AG110" s="645">
        <f t="shared" si="128"/>
        <v>0</v>
      </c>
      <c r="AH110" s="169">
        <f t="shared" si="126"/>
        <v>0</v>
      </c>
    </row>
    <row r="111" spans="1:34" s="21" customFormat="1" ht="63">
      <c r="A111" s="508">
        <v>1</v>
      </c>
      <c r="B111" s="509" t="s">
        <v>282</v>
      </c>
      <c r="C111" s="176" t="s">
        <v>61</v>
      </c>
      <c r="D111" s="219" t="s">
        <v>99</v>
      </c>
      <c r="E111" s="14" t="s">
        <v>52</v>
      </c>
      <c r="F111" s="113">
        <v>7984291</v>
      </c>
      <c r="G111" s="220">
        <v>41</v>
      </c>
      <c r="H111" s="110" t="s">
        <v>294</v>
      </c>
      <c r="I111" s="511" t="s">
        <v>299</v>
      </c>
      <c r="J111" s="176" t="s">
        <v>287</v>
      </c>
      <c r="K111" s="510">
        <v>3169</v>
      </c>
      <c r="L111" s="510">
        <v>142</v>
      </c>
      <c r="M111" s="46"/>
      <c r="N111" s="370">
        <f t="shared" ref="N111:N116" si="129">SUM(O111:R111)</f>
        <v>1600</v>
      </c>
      <c r="O111" s="370"/>
      <c r="P111" s="370"/>
      <c r="Q111" s="370">
        <v>1600</v>
      </c>
      <c r="R111" s="370"/>
      <c r="S111" s="370">
        <f t="shared" ref="S111:S116" si="130">SUM(T111:W111)</f>
        <v>1600</v>
      </c>
      <c r="T111" s="370"/>
      <c r="U111" s="370"/>
      <c r="V111" s="649">
        <v>1600</v>
      </c>
      <c r="W111" s="116"/>
      <c r="X111" s="370">
        <f t="shared" ref="X111:X116" si="131">SUM(Y111:AB111)</f>
        <v>1600</v>
      </c>
      <c r="Y111" s="370"/>
      <c r="Z111" s="370"/>
      <c r="AA111" s="370">
        <v>1600</v>
      </c>
      <c r="AB111" s="370"/>
      <c r="AC111" s="370">
        <f t="shared" ref="AC111:AC116" si="132">SUM(AD111:AG111)</f>
        <v>1600</v>
      </c>
      <c r="AD111" s="370"/>
      <c r="AE111" s="370"/>
      <c r="AF111" s="370">
        <v>1600</v>
      </c>
      <c r="AG111" s="370"/>
      <c r="AH111" s="20"/>
    </row>
    <row r="112" spans="1:34" s="21" customFormat="1" ht="63">
      <c r="A112" s="508">
        <v>2</v>
      </c>
      <c r="B112" s="509" t="s">
        <v>283</v>
      </c>
      <c r="C112" s="176" t="s">
        <v>61</v>
      </c>
      <c r="D112" s="219" t="s">
        <v>41</v>
      </c>
      <c r="E112" s="14" t="s">
        <v>52</v>
      </c>
      <c r="F112" s="113">
        <v>7984293</v>
      </c>
      <c r="G112" s="220">
        <v>41</v>
      </c>
      <c r="H112" s="110" t="s">
        <v>295</v>
      </c>
      <c r="I112" s="511" t="s">
        <v>299</v>
      </c>
      <c r="J112" s="176" t="s">
        <v>288</v>
      </c>
      <c r="K112" s="510">
        <v>3480</v>
      </c>
      <c r="L112" s="510">
        <v>165</v>
      </c>
      <c r="M112" s="46"/>
      <c r="N112" s="370">
        <f t="shared" si="129"/>
        <v>1700</v>
      </c>
      <c r="O112" s="370"/>
      <c r="P112" s="370"/>
      <c r="Q112" s="370">
        <v>1700</v>
      </c>
      <c r="R112" s="370"/>
      <c r="S112" s="370">
        <f t="shared" si="130"/>
        <v>1700</v>
      </c>
      <c r="T112" s="370"/>
      <c r="U112" s="370"/>
      <c r="V112" s="649">
        <v>1700</v>
      </c>
      <c r="W112" s="116"/>
      <c r="X112" s="370">
        <f t="shared" si="131"/>
        <v>1700</v>
      </c>
      <c r="Y112" s="370"/>
      <c r="Z112" s="370"/>
      <c r="AA112" s="370">
        <v>1700</v>
      </c>
      <c r="AB112" s="370"/>
      <c r="AC112" s="370">
        <f t="shared" si="132"/>
        <v>1700</v>
      </c>
      <c r="AD112" s="370"/>
      <c r="AE112" s="370"/>
      <c r="AF112" s="370">
        <v>1700</v>
      </c>
      <c r="AG112" s="370"/>
      <c r="AH112" s="20"/>
    </row>
    <row r="113" spans="1:34" s="21" customFormat="1" ht="63">
      <c r="A113" s="508">
        <v>3</v>
      </c>
      <c r="B113" s="509" t="s">
        <v>284</v>
      </c>
      <c r="C113" s="176" t="s">
        <v>61</v>
      </c>
      <c r="D113" s="219" t="s">
        <v>292</v>
      </c>
      <c r="E113" s="14" t="s">
        <v>52</v>
      </c>
      <c r="F113" s="113">
        <v>7980926</v>
      </c>
      <c r="G113" s="220">
        <v>41</v>
      </c>
      <c r="H113" s="110" t="s">
        <v>296</v>
      </c>
      <c r="I113" s="511" t="s">
        <v>299</v>
      </c>
      <c r="J113" s="176" t="s">
        <v>289</v>
      </c>
      <c r="K113" s="510">
        <v>3170</v>
      </c>
      <c r="L113" s="510">
        <v>68</v>
      </c>
      <c r="M113" s="46"/>
      <c r="N113" s="370">
        <f t="shared" si="129"/>
        <v>1600</v>
      </c>
      <c r="O113" s="370"/>
      <c r="P113" s="370"/>
      <c r="Q113" s="370">
        <v>1600</v>
      </c>
      <c r="R113" s="370"/>
      <c r="S113" s="370">
        <f t="shared" si="130"/>
        <v>1306.894</v>
      </c>
      <c r="T113" s="370"/>
      <c r="U113" s="370"/>
      <c r="V113" s="649">
        <f>1306894000/1000000</f>
        <v>1306.894</v>
      </c>
      <c r="W113" s="116"/>
      <c r="X113" s="370">
        <f t="shared" si="131"/>
        <v>1600</v>
      </c>
      <c r="Y113" s="370"/>
      <c r="Z113" s="370"/>
      <c r="AA113" s="370">
        <v>1600</v>
      </c>
      <c r="AB113" s="370"/>
      <c r="AC113" s="370">
        <f t="shared" si="132"/>
        <v>1600</v>
      </c>
      <c r="AD113" s="370"/>
      <c r="AE113" s="370"/>
      <c r="AF113" s="370">
        <v>1600</v>
      </c>
      <c r="AG113" s="370"/>
      <c r="AH113" s="20"/>
    </row>
    <row r="114" spans="1:34" s="21" customFormat="1" ht="63">
      <c r="A114" s="508">
        <v>4</v>
      </c>
      <c r="B114" s="509" t="s">
        <v>285</v>
      </c>
      <c r="C114" s="176" t="s">
        <v>61</v>
      </c>
      <c r="D114" s="219" t="s">
        <v>130</v>
      </c>
      <c r="E114" s="14" t="s">
        <v>52</v>
      </c>
      <c r="F114" s="113">
        <v>7980931</v>
      </c>
      <c r="G114" s="220">
        <v>41</v>
      </c>
      <c r="H114" s="110" t="s">
        <v>297</v>
      </c>
      <c r="I114" s="511" t="s">
        <v>153</v>
      </c>
      <c r="J114" s="176" t="s">
        <v>290</v>
      </c>
      <c r="K114" s="510">
        <v>3174</v>
      </c>
      <c r="L114" s="510">
        <v>4</v>
      </c>
      <c r="M114" s="46"/>
      <c r="N114" s="370">
        <f t="shared" si="129"/>
        <v>1600</v>
      </c>
      <c r="O114" s="370"/>
      <c r="P114" s="370"/>
      <c r="Q114" s="370">
        <v>1600</v>
      </c>
      <c r="R114" s="370"/>
      <c r="S114" s="370">
        <f t="shared" si="130"/>
        <v>1348.5360000000001</v>
      </c>
      <c r="T114" s="370"/>
      <c r="U114" s="370"/>
      <c r="V114" s="649">
        <f>1348536000/1000000</f>
        <v>1348.5360000000001</v>
      </c>
      <c r="W114" s="116"/>
      <c r="X114" s="370">
        <f t="shared" si="131"/>
        <v>1600</v>
      </c>
      <c r="Y114" s="370"/>
      <c r="Z114" s="370"/>
      <c r="AA114" s="370">
        <v>1600</v>
      </c>
      <c r="AB114" s="370"/>
      <c r="AC114" s="370">
        <f t="shared" si="132"/>
        <v>1600</v>
      </c>
      <c r="AD114" s="370"/>
      <c r="AE114" s="370"/>
      <c r="AF114" s="370">
        <v>1600</v>
      </c>
      <c r="AG114" s="370"/>
      <c r="AH114" s="20"/>
    </row>
    <row r="115" spans="1:34" s="21" customFormat="1" ht="94.5">
      <c r="A115" s="508">
        <v>5</v>
      </c>
      <c r="B115" s="509" t="s">
        <v>286</v>
      </c>
      <c r="C115" s="176" t="s">
        <v>61</v>
      </c>
      <c r="D115" s="219" t="s">
        <v>293</v>
      </c>
      <c r="E115" s="14" t="s">
        <v>52</v>
      </c>
      <c r="F115" s="113">
        <v>7980928</v>
      </c>
      <c r="G115" s="220">
        <v>41</v>
      </c>
      <c r="H115" s="110" t="s">
        <v>298</v>
      </c>
      <c r="I115" s="511" t="s">
        <v>153</v>
      </c>
      <c r="J115" s="176" t="s">
        <v>291</v>
      </c>
      <c r="K115" s="510">
        <v>3170</v>
      </c>
      <c r="L115" s="510">
        <v>70</v>
      </c>
      <c r="M115" s="46"/>
      <c r="N115" s="370">
        <f t="shared" si="129"/>
        <v>1600</v>
      </c>
      <c r="O115" s="370"/>
      <c r="P115" s="370"/>
      <c r="Q115" s="370">
        <v>1600</v>
      </c>
      <c r="R115" s="370"/>
      <c r="S115" s="370">
        <f t="shared" si="130"/>
        <v>1600</v>
      </c>
      <c r="T115" s="370"/>
      <c r="U115" s="370"/>
      <c r="V115" s="649">
        <v>1600</v>
      </c>
      <c r="W115" s="116"/>
      <c r="X115" s="370">
        <f t="shared" si="131"/>
        <v>1600</v>
      </c>
      <c r="Y115" s="370"/>
      <c r="Z115" s="370"/>
      <c r="AA115" s="370">
        <v>1600</v>
      </c>
      <c r="AB115" s="370"/>
      <c r="AC115" s="370">
        <f t="shared" si="132"/>
        <v>1600</v>
      </c>
      <c r="AD115" s="370"/>
      <c r="AE115" s="370"/>
      <c r="AF115" s="370">
        <v>1600</v>
      </c>
      <c r="AG115" s="370"/>
      <c r="AH115" s="20"/>
    </row>
    <row r="116" spans="1:34" s="21" customFormat="1" ht="47.25">
      <c r="A116" s="508">
        <v>6</v>
      </c>
      <c r="B116" s="509" t="s">
        <v>300</v>
      </c>
      <c r="C116" s="176" t="s">
        <v>61</v>
      </c>
      <c r="D116" s="219" t="s">
        <v>301</v>
      </c>
      <c r="E116" s="14" t="s">
        <v>52</v>
      </c>
      <c r="F116" s="113">
        <v>7980927</v>
      </c>
      <c r="G116" s="220">
        <v>41</v>
      </c>
      <c r="H116" s="110" t="s">
        <v>302</v>
      </c>
      <c r="I116" s="511" t="s">
        <v>153</v>
      </c>
      <c r="J116" s="176" t="s">
        <v>303</v>
      </c>
      <c r="K116" s="510">
        <v>3170</v>
      </c>
      <c r="L116" s="510">
        <v>79</v>
      </c>
      <c r="M116" s="46"/>
      <c r="N116" s="370">
        <f t="shared" si="129"/>
        <v>1600</v>
      </c>
      <c r="O116" s="370"/>
      <c r="P116" s="370"/>
      <c r="Q116" s="370">
        <v>1600</v>
      </c>
      <c r="R116" s="370"/>
      <c r="S116" s="370">
        <f t="shared" si="130"/>
        <v>935.59500000000003</v>
      </c>
      <c r="T116" s="370"/>
      <c r="U116" s="370"/>
      <c r="V116" s="649">
        <f>935595000/1000000</f>
        <v>935.59500000000003</v>
      </c>
      <c r="W116" s="116"/>
      <c r="X116" s="370">
        <f t="shared" si="131"/>
        <v>1600</v>
      </c>
      <c r="Y116" s="370"/>
      <c r="Z116" s="370"/>
      <c r="AA116" s="370">
        <v>1600</v>
      </c>
      <c r="AB116" s="370"/>
      <c r="AC116" s="370">
        <f t="shared" si="132"/>
        <v>1600</v>
      </c>
      <c r="AD116" s="370"/>
      <c r="AE116" s="370"/>
      <c r="AF116" s="370">
        <v>1600</v>
      </c>
      <c r="AG116" s="370"/>
      <c r="AH116" s="20"/>
    </row>
    <row r="117" spans="1:34" hidden="1">
      <c r="A117" s="95"/>
      <c r="B117" s="96"/>
      <c r="C117" s="95"/>
      <c r="D117" s="95"/>
      <c r="E117" s="95"/>
      <c r="F117" s="95"/>
      <c r="G117" s="95"/>
      <c r="H117" s="95"/>
      <c r="I117" s="169"/>
      <c r="J117" s="95"/>
      <c r="K117" s="97"/>
      <c r="L117" s="97"/>
      <c r="M117" s="97"/>
      <c r="N117" s="97"/>
      <c r="O117" s="97"/>
      <c r="P117" s="190"/>
      <c r="Q117" s="97"/>
      <c r="R117" s="97"/>
      <c r="S117" s="190"/>
      <c r="T117" s="190"/>
      <c r="U117" s="190"/>
      <c r="V117" s="190"/>
      <c r="W117" s="97"/>
      <c r="X117" s="97"/>
      <c r="Y117" s="97"/>
      <c r="Z117" s="190"/>
      <c r="AA117" s="97"/>
      <c r="AB117" s="97"/>
      <c r="AC117" s="97"/>
      <c r="AD117" s="97"/>
      <c r="AE117" s="190"/>
      <c r="AF117" s="97"/>
      <c r="AG117" s="97"/>
      <c r="AH117" s="97"/>
    </row>
    <row r="118" spans="1:34" s="139" customFormat="1" ht="38.25" hidden="1" customHeight="1">
      <c r="A118" s="136"/>
      <c r="B118" s="144"/>
      <c r="C118" s="142"/>
      <c r="D118" s="142"/>
      <c r="E118" s="142"/>
      <c r="F118" s="146"/>
      <c r="G118" s="146"/>
      <c r="H118" s="135"/>
      <c r="I118" s="221"/>
      <c r="J118" s="142"/>
      <c r="K118" s="146"/>
      <c r="L118" s="146"/>
      <c r="M118" s="146"/>
      <c r="N118" s="146"/>
      <c r="O118" s="150"/>
      <c r="P118" s="146"/>
      <c r="Q118" s="151"/>
      <c r="R118" s="146"/>
      <c r="S118" s="147"/>
      <c r="T118" s="150"/>
      <c r="U118" s="146"/>
      <c r="V118" s="152"/>
      <c r="W118" s="147"/>
      <c r="X118" s="146"/>
      <c r="Y118" s="150"/>
      <c r="Z118" s="146"/>
      <c r="AA118" s="151"/>
      <c r="AB118" s="146"/>
      <c r="AC118" s="146"/>
      <c r="AD118" s="150"/>
      <c r="AE118" s="146"/>
      <c r="AF118" s="151"/>
      <c r="AG118" s="146"/>
      <c r="AH118" s="138"/>
    </row>
    <row r="119" spans="1:34" s="139" customFormat="1" ht="38.25" hidden="1" customHeight="1">
      <c r="A119" s="136"/>
      <c r="B119" s="144"/>
      <c r="C119" s="142"/>
      <c r="D119" s="142"/>
      <c r="E119" s="142"/>
      <c r="F119" s="146"/>
      <c r="G119" s="146"/>
      <c r="H119" s="135"/>
      <c r="I119" s="221"/>
      <c r="J119" s="153"/>
      <c r="K119" s="146"/>
      <c r="L119" s="146"/>
      <c r="M119" s="146"/>
      <c r="N119" s="146"/>
      <c r="O119" s="150"/>
      <c r="P119" s="146"/>
      <c r="Q119" s="151"/>
      <c r="R119" s="146"/>
      <c r="S119" s="146"/>
      <c r="T119" s="150"/>
      <c r="U119" s="146"/>
      <c r="V119" s="154"/>
      <c r="W119" s="146"/>
      <c r="X119" s="146"/>
      <c r="Y119" s="150"/>
      <c r="Z119" s="146"/>
      <c r="AA119" s="151"/>
      <c r="AB119" s="146"/>
      <c r="AC119" s="146"/>
      <c r="AD119" s="150"/>
      <c r="AE119" s="146"/>
      <c r="AF119" s="151"/>
      <c r="AG119" s="146"/>
      <c r="AH119" s="138"/>
    </row>
    <row r="120" spans="1:34" s="139" customFormat="1" ht="38.25" hidden="1" customHeight="1">
      <c r="A120" s="136"/>
      <c r="B120" s="144"/>
      <c r="C120" s="142"/>
      <c r="D120" s="142"/>
      <c r="E120" s="142"/>
      <c r="F120" s="146"/>
      <c r="G120" s="146"/>
      <c r="H120" s="135"/>
      <c r="I120" s="221"/>
      <c r="J120" s="142"/>
      <c r="K120" s="146"/>
      <c r="L120" s="146"/>
      <c r="M120" s="146"/>
      <c r="N120" s="146"/>
      <c r="O120" s="150"/>
      <c r="P120" s="146"/>
      <c r="Q120" s="151"/>
      <c r="R120" s="146"/>
      <c r="S120" s="146"/>
      <c r="T120" s="150"/>
      <c r="U120" s="146"/>
      <c r="V120" s="154"/>
      <c r="W120" s="146"/>
      <c r="X120" s="146"/>
      <c r="Y120" s="150"/>
      <c r="Z120" s="146"/>
      <c r="AA120" s="151"/>
      <c r="AB120" s="146"/>
      <c r="AC120" s="146"/>
      <c r="AD120" s="150"/>
      <c r="AE120" s="146"/>
      <c r="AF120" s="151"/>
      <c r="AG120" s="146"/>
      <c r="AH120" s="138"/>
    </row>
    <row r="121" spans="1:34" s="139" customFormat="1" ht="38.25" hidden="1" customHeight="1">
      <c r="A121" s="136"/>
      <c r="B121" s="144"/>
      <c r="C121" s="142"/>
      <c r="D121" s="142"/>
      <c r="E121" s="142"/>
      <c r="F121" s="146"/>
      <c r="G121" s="146"/>
      <c r="H121" s="135"/>
      <c r="I121" s="221"/>
      <c r="J121" s="142"/>
      <c r="K121" s="146"/>
      <c r="L121" s="146"/>
      <c r="M121" s="146"/>
      <c r="N121" s="146"/>
      <c r="O121" s="146"/>
      <c r="P121" s="146"/>
      <c r="Q121" s="151"/>
      <c r="R121" s="146"/>
      <c r="S121" s="146"/>
      <c r="T121" s="146"/>
      <c r="U121" s="146"/>
      <c r="V121" s="154"/>
      <c r="W121" s="146"/>
      <c r="X121" s="146"/>
      <c r="Y121" s="146"/>
      <c r="Z121" s="146"/>
      <c r="AA121" s="151"/>
      <c r="AB121" s="146"/>
      <c r="AC121" s="146"/>
      <c r="AD121" s="146"/>
      <c r="AE121" s="146"/>
      <c r="AF121" s="151"/>
      <c r="AG121" s="146"/>
      <c r="AH121" s="138"/>
    </row>
    <row r="122" spans="1:34" s="162" customFormat="1" ht="38.25" hidden="1" customHeight="1">
      <c r="A122" s="136"/>
      <c r="B122" s="155"/>
      <c r="C122" s="156"/>
      <c r="D122" s="156"/>
      <c r="E122" s="156"/>
      <c r="F122" s="157"/>
      <c r="G122" s="157"/>
      <c r="H122" s="158"/>
      <c r="I122" s="221"/>
      <c r="J122" s="156"/>
      <c r="K122" s="157"/>
      <c r="L122" s="157"/>
      <c r="M122" s="157"/>
      <c r="N122" s="157"/>
      <c r="O122" s="146"/>
      <c r="P122" s="157"/>
      <c r="Q122" s="159"/>
      <c r="R122" s="157"/>
      <c r="S122" s="157"/>
      <c r="T122" s="146"/>
      <c r="U122" s="157"/>
      <c r="V122" s="160"/>
      <c r="W122" s="157"/>
      <c r="X122" s="157"/>
      <c r="Y122" s="146"/>
      <c r="Z122" s="157"/>
      <c r="AA122" s="159"/>
      <c r="AB122" s="157"/>
      <c r="AC122" s="157"/>
      <c r="AD122" s="146"/>
      <c r="AE122" s="157"/>
      <c r="AF122" s="159"/>
      <c r="AG122" s="157"/>
      <c r="AH122" s="161"/>
    </row>
    <row r="123" spans="1:34" s="162" customFormat="1" ht="38.25" hidden="1" customHeight="1">
      <c r="A123" s="136"/>
      <c r="B123" s="155"/>
      <c r="C123" s="156"/>
      <c r="D123" s="156"/>
      <c r="E123" s="156"/>
      <c r="F123" s="157"/>
      <c r="G123" s="157"/>
      <c r="H123" s="158"/>
      <c r="I123" s="158"/>
      <c r="J123" s="156"/>
      <c r="K123" s="157"/>
      <c r="L123" s="157"/>
      <c r="M123" s="157"/>
      <c r="N123" s="157"/>
      <c r="O123" s="157"/>
      <c r="P123" s="157"/>
      <c r="Q123" s="159"/>
      <c r="R123" s="157"/>
      <c r="S123" s="157"/>
      <c r="T123" s="157"/>
      <c r="U123" s="157"/>
      <c r="V123" s="160"/>
      <c r="W123" s="157"/>
      <c r="X123" s="157"/>
      <c r="Y123" s="157"/>
      <c r="Z123" s="157"/>
      <c r="AA123" s="159"/>
      <c r="AB123" s="157"/>
      <c r="AC123" s="157"/>
      <c r="AD123" s="157"/>
      <c r="AE123" s="157"/>
      <c r="AF123" s="159"/>
      <c r="AG123" s="157"/>
      <c r="AH123" s="161"/>
    </row>
    <row r="124" spans="1:34" s="139" customFormat="1" ht="38.25" hidden="1" customHeight="1">
      <c r="A124" s="136"/>
      <c r="B124" s="144"/>
      <c r="C124" s="142"/>
      <c r="D124" s="142"/>
      <c r="E124" s="142"/>
      <c r="F124" s="146"/>
      <c r="G124" s="146"/>
      <c r="H124" s="135"/>
      <c r="I124" s="135"/>
      <c r="J124" s="142"/>
      <c r="K124" s="146"/>
      <c r="L124" s="146"/>
      <c r="M124" s="146"/>
      <c r="N124" s="146"/>
      <c r="O124" s="146"/>
      <c r="P124" s="146"/>
      <c r="Q124" s="151"/>
      <c r="R124" s="146"/>
      <c r="S124" s="146"/>
      <c r="T124" s="146"/>
      <c r="U124" s="146"/>
      <c r="V124" s="146"/>
      <c r="W124" s="146"/>
      <c r="X124" s="146"/>
      <c r="Y124" s="146"/>
      <c r="Z124" s="146"/>
      <c r="AA124" s="151"/>
      <c r="AB124" s="146"/>
      <c r="AC124" s="146"/>
      <c r="AD124" s="146"/>
      <c r="AE124" s="146"/>
      <c r="AF124" s="151"/>
      <c r="AG124" s="146"/>
      <c r="AH124" s="138"/>
    </row>
    <row r="125" spans="1:34" s="139" customFormat="1" ht="38.25" hidden="1" customHeight="1">
      <c r="A125" s="136"/>
      <c r="B125" s="144"/>
      <c r="C125" s="142"/>
      <c r="D125" s="142"/>
      <c r="E125" s="142"/>
      <c r="F125" s="146"/>
      <c r="G125" s="146"/>
      <c r="H125" s="135"/>
      <c r="I125" s="135"/>
      <c r="J125" s="142"/>
      <c r="K125" s="146"/>
      <c r="L125" s="146"/>
      <c r="M125" s="146"/>
      <c r="N125" s="146"/>
      <c r="O125" s="146"/>
      <c r="P125" s="146"/>
      <c r="Q125" s="151"/>
      <c r="R125" s="146"/>
      <c r="S125" s="146"/>
      <c r="T125" s="146"/>
      <c r="U125" s="146"/>
      <c r="V125" s="146"/>
      <c r="W125" s="146"/>
      <c r="X125" s="146"/>
      <c r="Y125" s="146"/>
      <c r="Z125" s="146"/>
      <c r="AA125" s="151"/>
      <c r="AB125" s="146"/>
      <c r="AC125" s="146"/>
      <c r="AD125" s="146"/>
      <c r="AE125" s="146"/>
      <c r="AF125" s="151"/>
      <c r="AG125" s="146"/>
      <c r="AH125" s="138"/>
    </row>
    <row r="126" spans="1:34" ht="38.25" hidden="1" customHeight="1">
      <c r="A126" s="136"/>
      <c r="B126" s="47"/>
      <c r="C126" s="14"/>
      <c r="D126" s="14"/>
      <c r="E126" s="14"/>
      <c r="F126" s="46"/>
      <c r="G126" s="46"/>
      <c r="H126" s="92"/>
      <c r="I126" s="92"/>
      <c r="J126" s="14"/>
      <c r="K126" s="46"/>
      <c r="L126" s="46"/>
      <c r="M126" s="46"/>
      <c r="N126" s="46"/>
      <c r="O126" s="46"/>
      <c r="P126" s="146"/>
      <c r="Q126" s="51"/>
      <c r="R126" s="46"/>
      <c r="S126" s="146"/>
      <c r="T126" s="146"/>
      <c r="U126" s="146"/>
      <c r="V126" s="146"/>
      <c r="W126" s="46"/>
      <c r="X126" s="46"/>
      <c r="Y126" s="46"/>
      <c r="Z126" s="146"/>
      <c r="AA126" s="51"/>
      <c r="AB126" s="46"/>
      <c r="AC126" s="46"/>
      <c r="AD126" s="46"/>
      <c r="AE126" s="146"/>
      <c r="AF126" s="51"/>
      <c r="AG126" s="46"/>
      <c r="AH126" s="3"/>
    </row>
    <row r="127" spans="1:34" s="139" customFormat="1" ht="38.25" hidden="1" customHeight="1">
      <c r="A127" s="136"/>
      <c r="B127" s="144"/>
      <c r="C127" s="142"/>
      <c r="D127" s="142"/>
      <c r="E127" s="142"/>
      <c r="F127" s="146"/>
      <c r="G127" s="146"/>
      <c r="H127" s="143"/>
      <c r="I127" s="143"/>
      <c r="J127" s="142"/>
      <c r="K127" s="146"/>
      <c r="L127" s="146"/>
      <c r="M127" s="146"/>
      <c r="N127" s="146"/>
      <c r="O127" s="146"/>
      <c r="P127" s="146"/>
      <c r="Q127" s="151"/>
      <c r="R127" s="146"/>
      <c r="S127" s="146"/>
      <c r="T127" s="146"/>
      <c r="U127" s="146"/>
      <c r="V127" s="154"/>
      <c r="W127" s="146"/>
      <c r="X127" s="146"/>
      <c r="Y127" s="146"/>
      <c r="Z127" s="146"/>
      <c r="AA127" s="151"/>
      <c r="AB127" s="146"/>
      <c r="AC127" s="146"/>
      <c r="AD127" s="146"/>
      <c r="AE127" s="146"/>
      <c r="AF127" s="151"/>
      <c r="AG127" s="146"/>
      <c r="AH127" s="138"/>
    </row>
    <row r="128" spans="1:34" s="139" customFormat="1" hidden="1">
      <c r="A128" s="136"/>
      <c r="B128" s="144"/>
      <c r="C128" s="142"/>
      <c r="D128" s="142"/>
      <c r="E128" s="142"/>
      <c r="F128" s="146"/>
      <c r="G128" s="146"/>
      <c r="H128" s="135"/>
      <c r="I128" s="135"/>
      <c r="J128" s="142"/>
      <c r="K128" s="146"/>
      <c r="L128" s="146"/>
      <c r="M128" s="146"/>
      <c r="N128" s="146"/>
      <c r="O128" s="146"/>
      <c r="P128" s="146"/>
      <c r="Q128" s="151"/>
      <c r="R128" s="146"/>
      <c r="S128" s="146"/>
      <c r="T128" s="146"/>
      <c r="U128" s="146"/>
      <c r="V128" s="146"/>
      <c r="W128" s="146"/>
      <c r="X128" s="146"/>
      <c r="Y128" s="146"/>
      <c r="Z128" s="146"/>
      <c r="AA128" s="151"/>
      <c r="AB128" s="146"/>
      <c r="AC128" s="146"/>
      <c r="AD128" s="146"/>
      <c r="AE128" s="146"/>
      <c r="AF128" s="151"/>
      <c r="AG128" s="146"/>
      <c r="AH128" s="138"/>
    </row>
    <row r="129" spans="1:34" s="139" customFormat="1" ht="17.25" hidden="1" customHeight="1">
      <c r="A129" s="136"/>
      <c r="B129" s="144"/>
      <c r="C129" s="142"/>
      <c r="D129" s="142"/>
      <c r="E129" s="142"/>
      <c r="F129" s="146"/>
      <c r="G129" s="146"/>
      <c r="H129" s="163"/>
      <c r="I129" s="163"/>
      <c r="J129" s="142"/>
      <c r="K129" s="146"/>
      <c r="L129" s="146"/>
      <c r="M129" s="146"/>
      <c r="N129" s="146"/>
      <c r="O129" s="146"/>
      <c r="P129" s="146"/>
      <c r="Q129" s="151"/>
      <c r="R129" s="146"/>
      <c r="S129" s="146"/>
      <c r="T129" s="146"/>
      <c r="U129" s="146"/>
      <c r="V129" s="146"/>
      <c r="W129" s="146"/>
      <c r="X129" s="146"/>
      <c r="Y129" s="146"/>
      <c r="Z129" s="146"/>
      <c r="AA129" s="151"/>
      <c r="AB129" s="146"/>
      <c r="AC129" s="146"/>
      <c r="AD129" s="146"/>
      <c r="AE129" s="146"/>
      <c r="AF129" s="151"/>
      <c r="AG129" s="146"/>
      <c r="AH129" s="138"/>
    </row>
    <row r="130" spans="1:34" s="139" customFormat="1" ht="38.25" hidden="1" customHeight="1">
      <c r="A130" s="136"/>
      <c r="B130" s="144"/>
      <c r="C130" s="142"/>
      <c r="D130" s="142"/>
      <c r="E130" s="142"/>
      <c r="F130" s="146"/>
      <c r="G130" s="146"/>
      <c r="H130" s="163"/>
      <c r="I130" s="163"/>
      <c r="J130" s="142"/>
      <c r="K130" s="146"/>
      <c r="L130" s="146"/>
      <c r="M130" s="146"/>
      <c r="N130" s="146"/>
      <c r="O130" s="146"/>
      <c r="P130" s="146"/>
      <c r="Q130" s="151"/>
      <c r="R130" s="146"/>
      <c r="S130" s="146"/>
      <c r="T130" s="146"/>
      <c r="U130" s="146"/>
      <c r="V130" s="146"/>
      <c r="W130" s="146"/>
      <c r="X130" s="146"/>
      <c r="Y130" s="146"/>
      <c r="Z130" s="146"/>
      <c r="AA130" s="151"/>
      <c r="AB130" s="146"/>
      <c r="AC130" s="146"/>
      <c r="AD130" s="146"/>
      <c r="AE130" s="146"/>
      <c r="AF130" s="151"/>
      <c r="AG130" s="146"/>
      <c r="AH130" s="138"/>
    </row>
    <row r="131" spans="1:34" s="139" customFormat="1" ht="14.25" hidden="1" customHeight="1">
      <c r="A131" s="136"/>
      <c r="B131" s="144"/>
      <c r="C131" s="142"/>
      <c r="D131" s="142"/>
      <c r="E131" s="142"/>
      <c r="F131" s="146"/>
      <c r="G131" s="146"/>
      <c r="H131" s="163"/>
      <c r="I131" s="163"/>
      <c r="J131" s="142"/>
      <c r="K131" s="146"/>
      <c r="L131" s="146"/>
      <c r="M131" s="146"/>
      <c r="N131" s="146"/>
      <c r="O131" s="146"/>
      <c r="P131" s="146"/>
      <c r="Q131" s="151"/>
      <c r="R131" s="146"/>
      <c r="S131" s="146"/>
      <c r="T131" s="146"/>
      <c r="U131" s="146"/>
      <c r="V131" s="146"/>
      <c r="W131" s="146"/>
      <c r="X131" s="146"/>
      <c r="Y131" s="146"/>
      <c r="Z131" s="146"/>
      <c r="AA131" s="151"/>
      <c r="AB131" s="146"/>
      <c r="AC131" s="146"/>
      <c r="AD131" s="146"/>
      <c r="AE131" s="146"/>
      <c r="AF131" s="151"/>
      <c r="AG131" s="146"/>
      <c r="AH131" s="138"/>
    </row>
    <row r="132" spans="1:34" s="139" customFormat="1" ht="38.25" hidden="1" customHeight="1">
      <c r="A132" s="136"/>
      <c r="B132" s="144"/>
      <c r="C132" s="142"/>
      <c r="D132" s="142"/>
      <c r="E132" s="142"/>
      <c r="F132" s="146"/>
      <c r="G132" s="146"/>
      <c r="H132" s="163"/>
      <c r="I132" s="163"/>
      <c r="J132" s="142"/>
      <c r="K132" s="146"/>
      <c r="L132" s="146"/>
      <c r="M132" s="146"/>
      <c r="N132" s="146"/>
      <c r="O132" s="146"/>
      <c r="P132" s="146"/>
      <c r="Q132" s="151"/>
      <c r="R132" s="146"/>
      <c r="S132" s="146"/>
      <c r="T132" s="146"/>
      <c r="U132" s="146"/>
      <c r="V132" s="148"/>
      <c r="W132" s="148"/>
      <c r="X132" s="146"/>
      <c r="Y132" s="146"/>
      <c r="Z132" s="146"/>
      <c r="AA132" s="151"/>
      <c r="AB132" s="146"/>
      <c r="AC132" s="146"/>
      <c r="AD132" s="146"/>
      <c r="AE132" s="146"/>
      <c r="AF132" s="151"/>
      <c r="AG132" s="146"/>
      <c r="AH132" s="138"/>
    </row>
    <row r="133" spans="1:34" s="139" customFormat="1" ht="38.25" hidden="1" customHeight="1">
      <c r="A133" s="136"/>
      <c r="B133" s="144"/>
      <c r="C133" s="142"/>
      <c r="D133" s="142"/>
      <c r="E133" s="142"/>
      <c r="F133" s="146"/>
      <c r="G133" s="146"/>
      <c r="H133" s="163"/>
      <c r="I133" s="163"/>
      <c r="J133" s="142"/>
      <c r="K133" s="146"/>
      <c r="L133" s="146"/>
      <c r="M133" s="146"/>
      <c r="N133" s="146"/>
      <c r="O133" s="146"/>
      <c r="P133" s="146"/>
      <c r="Q133" s="151"/>
      <c r="R133" s="146"/>
      <c r="S133" s="146"/>
      <c r="T133" s="146"/>
      <c r="U133" s="146"/>
      <c r="V133" s="146"/>
      <c r="W133" s="146"/>
      <c r="X133" s="146"/>
      <c r="Y133" s="146"/>
      <c r="Z133" s="146"/>
      <c r="AA133" s="151"/>
      <c r="AB133" s="146"/>
      <c r="AC133" s="146"/>
      <c r="AD133" s="146"/>
      <c r="AE133" s="146"/>
      <c r="AF133" s="151"/>
      <c r="AG133" s="146"/>
      <c r="AH133" s="138"/>
    </row>
    <row r="134" spans="1:34" s="139" customFormat="1" ht="38.25" hidden="1" customHeight="1">
      <c r="A134" s="136"/>
      <c r="B134" s="144"/>
      <c r="C134" s="142"/>
      <c r="D134" s="142"/>
      <c r="E134" s="142"/>
      <c r="F134" s="146"/>
      <c r="G134" s="146"/>
      <c r="H134" s="163"/>
      <c r="I134" s="163"/>
      <c r="J134" s="142"/>
      <c r="K134" s="146"/>
      <c r="L134" s="146"/>
      <c r="M134" s="146"/>
      <c r="N134" s="146"/>
      <c r="O134" s="146"/>
      <c r="P134" s="146"/>
      <c r="Q134" s="151"/>
      <c r="R134" s="146"/>
      <c r="S134" s="146"/>
      <c r="T134" s="146"/>
      <c r="U134" s="146"/>
      <c r="V134" s="146"/>
      <c r="W134" s="146"/>
      <c r="X134" s="146"/>
      <c r="Y134" s="146"/>
      <c r="Z134" s="146"/>
      <c r="AA134" s="151"/>
      <c r="AB134" s="146"/>
      <c r="AC134" s="146"/>
      <c r="AD134" s="146"/>
      <c r="AE134" s="146"/>
      <c r="AF134" s="151"/>
      <c r="AG134" s="146"/>
      <c r="AH134" s="138"/>
    </row>
    <row r="135" spans="1:34" s="139" customFormat="1" ht="38.25" hidden="1" customHeight="1">
      <c r="A135" s="136"/>
      <c r="B135" s="144"/>
      <c r="C135" s="142"/>
      <c r="D135" s="142"/>
      <c r="E135" s="142"/>
      <c r="F135" s="146"/>
      <c r="G135" s="146"/>
      <c r="H135" s="163"/>
      <c r="I135" s="163"/>
      <c r="J135" s="142"/>
      <c r="K135" s="146"/>
      <c r="L135" s="146"/>
      <c r="M135" s="146"/>
      <c r="N135" s="146"/>
      <c r="O135" s="146"/>
      <c r="P135" s="146"/>
      <c r="Q135" s="151"/>
      <c r="R135" s="146"/>
      <c r="S135" s="146"/>
      <c r="T135" s="146"/>
      <c r="U135" s="146"/>
      <c r="V135" s="146"/>
      <c r="W135" s="146"/>
      <c r="X135" s="146"/>
      <c r="Y135" s="146"/>
      <c r="Z135" s="146"/>
      <c r="AA135" s="151"/>
      <c r="AB135" s="146"/>
      <c r="AC135" s="146"/>
      <c r="AD135" s="146"/>
      <c r="AE135" s="146"/>
      <c r="AF135" s="151"/>
      <c r="AG135" s="146"/>
      <c r="AH135" s="138"/>
    </row>
    <row r="136" spans="1:34" s="139" customFormat="1" ht="36.75" hidden="1" customHeight="1">
      <c r="A136" s="136"/>
      <c r="B136" s="144"/>
      <c r="C136" s="142"/>
      <c r="D136" s="142"/>
      <c r="E136" s="142"/>
      <c r="F136" s="146"/>
      <c r="G136" s="146"/>
      <c r="H136" s="163"/>
      <c r="I136" s="163"/>
      <c r="J136" s="142"/>
      <c r="K136" s="146"/>
      <c r="L136" s="146"/>
      <c r="M136" s="146"/>
      <c r="N136" s="146"/>
      <c r="O136" s="146"/>
      <c r="P136" s="146"/>
      <c r="Q136" s="151"/>
      <c r="R136" s="146"/>
      <c r="S136" s="146"/>
      <c r="T136" s="146"/>
      <c r="U136" s="146"/>
      <c r="V136" s="146"/>
      <c r="W136" s="146"/>
      <c r="X136" s="146"/>
      <c r="Y136" s="146"/>
      <c r="Z136" s="146"/>
      <c r="AA136" s="151"/>
      <c r="AB136" s="146"/>
      <c r="AC136" s="146"/>
      <c r="AD136" s="146"/>
      <c r="AE136" s="146"/>
      <c r="AF136" s="151"/>
      <c r="AG136" s="146"/>
      <c r="AH136" s="138"/>
    </row>
    <row r="137" spans="1:34" s="139" customFormat="1" ht="36.75" hidden="1" customHeight="1">
      <c r="A137" s="136"/>
      <c r="B137" s="177"/>
      <c r="C137" s="178"/>
      <c r="D137" s="142"/>
      <c r="E137" s="142"/>
      <c r="F137" s="146"/>
      <c r="G137" s="146"/>
      <c r="H137" s="163"/>
      <c r="I137" s="163"/>
      <c r="J137" s="142"/>
      <c r="K137" s="146"/>
      <c r="L137" s="146"/>
      <c r="M137" s="146"/>
      <c r="N137" s="146"/>
      <c r="O137" s="146"/>
      <c r="P137" s="146"/>
      <c r="Q137" s="151"/>
      <c r="R137" s="146"/>
      <c r="S137" s="146"/>
      <c r="T137" s="146"/>
      <c r="U137" s="146"/>
      <c r="V137" s="146"/>
      <c r="W137" s="146"/>
      <c r="X137" s="146"/>
      <c r="Y137" s="146"/>
      <c r="Z137" s="146"/>
      <c r="AA137" s="151"/>
      <c r="AB137" s="146"/>
      <c r="AC137" s="146"/>
      <c r="AD137" s="146"/>
      <c r="AE137" s="146"/>
      <c r="AF137" s="151"/>
      <c r="AG137" s="146"/>
      <c r="AH137" s="138"/>
    </row>
    <row r="138" spans="1:34" s="139" customFormat="1" hidden="1">
      <c r="A138" s="136"/>
      <c r="B138" s="144"/>
      <c r="C138" s="142"/>
      <c r="D138" s="142"/>
      <c r="E138" s="142"/>
      <c r="F138" s="146"/>
      <c r="G138" s="146"/>
      <c r="H138" s="163"/>
      <c r="I138" s="163"/>
      <c r="J138" s="142"/>
      <c r="K138" s="146"/>
      <c r="L138" s="146"/>
      <c r="M138" s="146"/>
      <c r="N138" s="146"/>
      <c r="O138" s="146"/>
      <c r="P138" s="146"/>
      <c r="Q138" s="151"/>
      <c r="R138" s="146"/>
      <c r="S138" s="146"/>
      <c r="T138" s="146"/>
      <c r="U138" s="146"/>
      <c r="V138" s="146"/>
      <c r="W138" s="146"/>
      <c r="X138" s="146"/>
      <c r="Y138" s="146"/>
      <c r="Z138" s="146"/>
      <c r="AA138" s="151"/>
      <c r="AB138" s="146"/>
      <c r="AC138" s="146"/>
      <c r="AD138" s="146"/>
      <c r="AE138" s="146"/>
      <c r="AF138" s="151"/>
      <c r="AG138" s="146"/>
      <c r="AH138" s="138"/>
    </row>
    <row r="139" spans="1:34" s="139" customFormat="1" ht="38.25" hidden="1" customHeight="1">
      <c r="A139" s="136"/>
      <c r="B139" s="144"/>
      <c r="C139" s="142"/>
      <c r="D139" s="142"/>
      <c r="E139" s="142"/>
      <c r="F139" s="146"/>
      <c r="G139" s="146"/>
      <c r="H139" s="163"/>
      <c r="I139" s="163"/>
      <c r="J139" s="142"/>
      <c r="K139" s="146"/>
      <c r="L139" s="146"/>
      <c r="M139" s="146"/>
      <c r="N139" s="146"/>
      <c r="O139" s="146"/>
      <c r="P139" s="146"/>
      <c r="Q139" s="151"/>
      <c r="R139" s="146"/>
      <c r="S139" s="146"/>
      <c r="T139" s="146"/>
      <c r="U139" s="146"/>
      <c r="V139" s="146"/>
      <c r="W139" s="146"/>
      <c r="X139" s="146"/>
      <c r="Y139" s="146"/>
      <c r="Z139" s="146"/>
      <c r="AA139" s="151"/>
      <c r="AB139" s="146"/>
      <c r="AC139" s="146"/>
      <c r="AD139" s="146"/>
      <c r="AE139" s="146"/>
      <c r="AF139" s="151"/>
      <c r="AG139" s="146"/>
      <c r="AH139" s="138"/>
    </row>
    <row r="140" spans="1:34" s="139" customFormat="1" hidden="1">
      <c r="A140" s="136"/>
      <c r="B140" s="144"/>
      <c r="C140" s="142"/>
      <c r="D140" s="142"/>
      <c r="E140" s="142"/>
      <c r="F140" s="146"/>
      <c r="G140" s="146"/>
      <c r="H140" s="163"/>
      <c r="I140" s="163"/>
      <c r="J140" s="142"/>
      <c r="K140" s="146"/>
      <c r="L140" s="146"/>
      <c r="M140" s="146"/>
      <c r="N140" s="146"/>
      <c r="O140" s="146"/>
      <c r="P140" s="146"/>
      <c r="Q140" s="151"/>
      <c r="R140" s="146"/>
      <c r="S140" s="146"/>
      <c r="T140" s="146"/>
      <c r="U140" s="146"/>
      <c r="V140" s="146"/>
      <c r="W140" s="146"/>
      <c r="X140" s="146"/>
      <c r="Y140" s="146"/>
      <c r="Z140" s="146"/>
      <c r="AA140" s="151"/>
      <c r="AB140" s="146"/>
      <c r="AC140" s="146"/>
      <c r="AD140" s="146"/>
      <c r="AE140" s="146"/>
      <c r="AF140" s="151"/>
      <c r="AG140" s="146"/>
      <c r="AH140" s="138"/>
    </row>
    <row r="141" spans="1:34" s="139" customFormat="1" ht="38.25" hidden="1" customHeight="1">
      <c r="A141" s="136"/>
      <c r="B141" s="144"/>
      <c r="C141" s="142"/>
      <c r="D141" s="142"/>
      <c r="E141" s="142"/>
      <c r="F141" s="146"/>
      <c r="G141" s="146"/>
      <c r="H141" s="163"/>
      <c r="I141" s="163"/>
      <c r="J141" s="142"/>
      <c r="K141" s="146"/>
      <c r="L141" s="146"/>
      <c r="M141" s="146"/>
      <c r="N141" s="146"/>
      <c r="O141" s="146"/>
      <c r="P141" s="146"/>
      <c r="Q141" s="151"/>
      <c r="R141" s="146"/>
      <c r="S141" s="146"/>
      <c r="T141" s="146"/>
      <c r="U141" s="146"/>
      <c r="V141" s="146"/>
      <c r="W141" s="146"/>
      <c r="X141" s="146"/>
      <c r="Y141" s="146"/>
      <c r="Z141" s="146"/>
      <c r="AA141" s="151"/>
      <c r="AB141" s="146"/>
      <c r="AC141" s="146"/>
      <c r="AD141" s="146"/>
      <c r="AE141" s="146"/>
      <c r="AF141" s="151"/>
      <c r="AG141" s="146"/>
      <c r="AH141" s="138"/>
    </row>
    <row r="142" spans="1:34" s="139" customFormat="1" ht="38.25" hidden="1" customHeight="1">
      <c r="A142" s="136"/>
      <c r="B142" s="144"/>
      <c r="C142" s="142"/>
      <c r="D142" s="142"/>
      <c r="E142" s="142"/>
      <c r="F142" s="146"/>
      <c r="G142" s="146"/>
      <c r="H142" s="163"/>
      <c r="I142" s="163"/>
      <c r="J142" s="142"/>
      <c r="K142" s="146"/>
      <c r="L142" s="146"/>
      <c r="M142" s="146"/>
      <c r="N142" s="146"/>
      <c r="O142" s="146"/>
      <c r="P142" s="146"/>
      <c r="Q142" s="151"/>
      <c r="R142" s="146"/>
      <c r="S142" s="146"/>
      <c r="T142" s="146"/>
      <c r="U142" s="146"/>
      <c r="V142" s="146"/>
      <c r="W142" s="146"/>
      <c r="X142" s="146"/>
      <c r="Y142" s="146"/>
      <c r="Z142" s="146"/>
      <c r="AA142" s="151"/>
      <c r="AB142" s="146"/>
      <c r="AC142" s="146"/>
      <c r="AD142" s="146"/>
      <c r="AE142" s="146"/>
      <c r="AF142" s="151"/>
      <c r="AG142" s="146"/>
      <c r="AH142" s="138"/>
    </row>
    <row r="143" spans="1:34" s="139" customFormat="1" ht="38.25" hidden="1" customHeight="1">
      <c r="A143" s="136"/>
      <c r="B143" s="144"/>
      <c r="C143" s="142"/>
      <c r="D143" s="142"/>
      <c r="E143" s="142"/>
      <c r="F143" s="146"/>
      <c r="G143" s="146"/>
      <c r="H143" s="163"/>
      <c r="I143" s="163"/>
      <c r="J143" s="142"/>
      <c r="K143" s="146"/>
      <c r="L143" s="146"/>
      <c r="M143" s="146"/>
      <c r="N143" s="146"/>
      <c r="O143" s="146"/>
      <c r="P143" s="146"/>
      <c r="Q143" s="151"/>
      <c r="R143" s="146"/>
      <c r="S143" s="146"/>
      <c r="T143" s="146"/>
      <c r="U143" s="146"/>
      <c r="V143" s="146"/>
      <c r="W143" s="146"/>
      <c r="X143" s="146"/>
      <c r="Y143" s="146"/>
      <c r="Z143" s="146"/>
      <c r="AA143" s="151"/>
      <c r="AB143" s="146"/>
      <c r="AC143" s="146"/>
      <c r="AD143" s="146"/>
      <c r="AE143" s="146"/>
      <c r="AF143" s="151"/>
      <c r="AG143" s="146"/>
      <c r="AH143" s="138"/>
    </row>
    <row r="144" spans="1:34" s="139" customFormat="1" ht="49.5" hidden="1" customHeight="1">
      <c r="A144" s="136"/>
      <c r="B144" s="144"/>
      <c r="C144" s="142"/>
      <c r="D144" s="142"/>
      <c r="E144" s="142"/>
      <c r="F144" s="146"/>
      <c r="G144" s="146"/>
      <c r="H144" s="163"/>
      <c r="I144" s="163"/>
      <c r="J144" s="142"/>
      <c r="K144" s="146"/>
      <c r="L144" s="146"/>
      <c r="M144" s="146"/>
      <c r="N144" s="146"/>
      <c r="O144" s="146"/>
      <c r="P144" s="146"/>
      <c r="Q144" s="151"/>
      <c r="R144" s="146"/>
      <c r="S144" s="146"/>
      <c r="T144" s="146"/>
      <c r="U144" s="146"/>
      <c r="V144" s="146"/>
      <c r="W144" s="146"/>
      <c r="X144" s="146"/>
      <c r="Y144" s="146"/>
      <c r="Z144" s="146"/>
      <c r="AA144" s="151"/>
      <c r="AB144" s="146"/>
      <c r="AC144" s="146"/>
      <c r="AD144" s="146"/>
      <c r="AE144" s="146"/>
      <c r="AF144" s="151"/>
      <c r="AG144" s="146"/>
      <c r="AH144" s="138"/>
    </row>
    <row r="145" spans="1:34" s="139" customFormat="1" ht="38.25" hidden="1" customHeight="1">
      <c r="A145" s="136"/>
      <c r="B145" s="144"/>
      <c r="C145" s="142"/>
      <c r="D145" s="142"/>
      <c r="E145" s="142"/>
      <c r="F145" s="146"/>
      <c r="G145" s="146"/>
      <c r="H145" s="163"/>
      <c r="I145" s="163"/>
      <c r="J145" s="142"/>
      <c r="K145" s="146"/>
      <c r="L145" s="146"/>
      <c r="M145" s="146"/>
      <c r="N145" s="146"/>
      <c r="O145" s="146"/>
      <c r="P145" s="146"/>
      <c r="Q145" s="151"/>
      <c r="R145" s="146"/>
      <c r="S145" s="146"/>
      <c r="T145" s="146"/>
      <c r="U145" s="146"/>
      <c r="V145" s="146"/>
      <c r="W145" s="146"/>
      <c r="X145" s="146"/>
      <c r="Y145" s="146"/>
      <c r="Z145" s="146"/>
      <c r="AA145" s="151"/>
      <c r="AB145" s="146"/>
      <c r="AC145" s="146"/>
      <c r="AD145" s="146"/>
      <c r="AE145" s="146"/>
      <c r="AF145" s="151"/>
      <c r="AG145" s="146"/>
      <c r="AH145" s="138"/>
    </row>
    <row r="146" spans="1:34" s="139" customFormat="1" ht="38.25" hidden="1" customHeight="1">
      <c r="A146" s="136"/>
      <c r="B146" s="144"/>
      <c r="C146" s="142"/>
      <c r="D146" s="142"/>
      <c r="E146" s="142"/>
      <c r="F146" s="146"/>
      <c r="G146" s="146"/>
      <c r="H146" s="163"/>
      <c r="I146" s="163"/>
      <c r="J146" s="142"/>
      <c r="K146" s="146"/>
      <c r="L146" s="146"/>
      <c r="M146" s="146"/>
      <c r="N146" s="146"/>
      <c r="O146" s="146"/>
      <c r="P146" s="146"/>
      <c r="Q146" s="151"/>
      <c r="R146" s="146"/>
      <c r="S146" s="146"/>
      <c r="T146" s="146"/>
      <c r="U146" s="146"/>
      <c r="V146" s="146"/>
      <c r="W146" s="146"/>
      <c r="X146" s="146"/>
      <c r="Y146" s="146"/>
      <c r="Z146" s="146"/>
      <c r="AA146" s="151"/>
      <c r="AB146" s="146"/>
      <c r="AC146" s="146"/>
      <c r="AD146" s="146"/>
      <c r="AE146" s="146"/>
      <c r="AF146" s="151"/>
      <c r="AG146" s="146"/>
      <c r="AH146" s="138"/>
    </row>
    <row r="147" spans="1:34" s="139" customFormat="1" ht="38.25" hidden="1" customHeight="1">
      <c r="A147" s="136"/>
      <c r="B147" s="144"/>
      <c r="C147" s="142"/>
      <c r="D147" s="142"/>
      <c r="E147" s="142"/>
      <c r="F147" s="146"/>
      <c r="G147" s="146"/>
      <c r="H147" s="163"/>
      <c r="I147" s="163"/>
      <c r="J147" s="142"/>
      <c r="K147" s="146"/>
      <c r="L147" s="146"/>
      <c r="M147" s="146"/>
      <c r="N147" s="146"/>
      <c r="O147" s="146"/>
      <c r="P147" s="146"/>
      <c r="Q147" s="151"/>
      <c r="R147" s="146"/>
      <c r="S147" s="146"/>
      <c r="T147" s="146"/>
      <c r="U147" s="146"/>
      <c r="V147" s="146"/>
      <c r="W147" s="146"/>
      <c r="X147" s="146"/>
      <c r="Y147" s="146"/>
      <c r="Z147" s="146"/>
      <c r="AA147" s="151"/>
      <c r="AB147" s="146"/>
      <c r="AC147" s="146"/>
      <c r="AD147" s="146"/>
      <c r="AE147" s="146"/>
      <c r="AF147" s="151"/>
      <c r="AG147" s="146"/>
      <c r="AH147" s="138"/>
    </row>
    <row r="148" spans="1:34" s="139" customFormat="1" ht="38.25" hidden="1" customHeight="1">
      <c r="A148" s="136"/>
      <c r="B148" s="144"/>
      <c r="C148" s="142"/>
      <c r="D148" s="142"/>
      <c r="E148" s="142"/>
      <c r="F148" s="146"/>
      <c r="G148" s="146"/>
      <c r="H148" s="163"/>
      <c r="I148" s="163"/>
      <c r="J148" s="142"/>
      <c r="K148" s="146"/>
      <c r="L148" s="146"/>
      <c r="M148" s="146"/>
      <c r="N148" s="146"/>
      <c r="O148" s="146"/>
      <c r="P148" s="146"/>
      <c r="Q148" s="151"/>
      <c r="R148" s="146"/>
      <c r="S148" s="146"/>
      <c r="T148" s="146"/>
      <c r="U148" s="146"/>
      <c r="V148" s="146"/>
      <c r="W148" s="146"/>
      <c r="X148" s="146"/>
      <c r="Y148" s="146"/>
      <c r="Z148" s="146"/>
      <c r="AA148" s="151"/>
      <c r="AB148" s="146"/>
      <c r="AC148" s="146"/>
      <c r="AD148" s="146"/>
      <c r="AE148" s="146"/>
      <c r="AF148" s="151"/>
      <c r="AG148" s="146"/>
      <c r="AH148" s="138"/>
    </row>
    <row r="149" spans="1:34" s="139" customFormat="1" ht="20.25" hidden="1" customHeight="1">
      <c r="A149" s="136"/>
      <c r="B149" s="144"/>
      <c r="C149" s="142"/>
      <c r="D149" s="142"/>
      <c r="E149" s="142"/>
      <c r="F149" s="146"/>
      <c r="G149" s="146"/>
      <c r="H149" s="163"/>
      <c r="I149" s="163"/>
      <c r="J149" s="142"/>
      <c r="K149" s="146"/>
      <c r="L149" s="146"/>
      <c r="M149" s="146"/>
      <c r="N149" s="146"/>
      <c r="O149" s="146"/>
      <c r="P149" s="146"/>
      <c r="Q149" s="151"/>
      <c r="R149" s="146"/>
      <c r="S149" s="146"/>
      <c r="T149" s="146"/>
      <c r="U149" s="146"/>
      <c r="V149" s="146"/>
      <c r="W149" s="146"/>
      <c r="X149" s="146"/>
      <c r="Y149" s="146"/>
      <c r="Z149" s="146"/>
      <c r="AA149" s="151"/>
      <c r="AB149" s="146"/>
      <c r="AC149" s="146"/>
      <c r="AD149" s="146"/>
      <c r="AE149" s="146"/>
      <c r="AF149" s="151"/>
      <c r="AG149" s="146"/>
      <c r="AH149" s="138"/>
    </row>
    <row r="150" spans="1:34" s="139" customFormat="1" ht="20.25" hidden="1" customHeight="1">
      <c r="A150" s="136"/>
      <c r="B150" s="144"/>
      <c r="C150" s="142"/>
      <c r="D150" s="142"/>
      <c r="E150" s="142"/>
      <c r="F150" s="146"/>
      <c r="G150" s="146"/>
      <c r="H150" s="163"/>
      <c r="I150" s="163"/>
      <c r="J150" s="142"/>
      <c r="K150" s="146"/>
      <c r="L150" s="146"/>
      <c r="M150" s="146"/>
      <c r="N150" s="146"/>
      <c r="O150" s="146"/>
      <c r="P150" s="146"/>
      <c r="Q150" s="151"/>
      <c r="R150" s="146"/>
      <c r="S150" s="146"/>
      <c r="T150" s="146"/>
      <c r="U150" s="146"/>
      <c r="V150" s="146"/>
      <c r="W150" s="146"/>
      <c r="X150" s="146"/>
      <c r="Y150" s="146"/>
      <c r="Z150" s="146"/>
      <c r="AA150" s="151"/>
      <c r="AB150" s="146"/>
      <c r="AC150" s="146"/>
      <c r="AD150" s="146"/>
      <c r="AE150" s="146"/>
      <c r="AF150" s="151"/>
      <c r="AG150" s="146"/>
      <c r="AH150" s="138"/>
    </row>
    <row r="151" spans="1:34" s="139" customFormat="1" ht="38.25" hidden="1" customHeight="1">
      <c r="A151" s="136"/>
      <c r="B151" s="144"/>
      <c r="C151" s="142"/>
      <c r="D151" s="142"/>
      <c r="E151" s="142"/>
      <c r="F151" s="146"/>
      <c r="G151" s="146"/>
      <c r="H151" s="163"/>
      <c r="I151" s="163"/>
      <c r="J151" s="142"/>
      <c r="K151" s="146"/>
      <c r="L151" s="146"/>
      <c r="M151" s="146"/>
      <c r="N151" s="146"/>
      <c r="O151" s="146"/>
      <c r="P151" s="146"/>
      <c r="Q151" s="151"/>
      <c r="R151" s="146"/>
      <c r="S151" s="146"/>
      <c r="T151" s="146"/>
      <c r="U151" s="146"/>
      <c r="V151" s="146"/>
      <c r="W151" s="146"/>
      <c r="X151" s="146"/>
      <c r="Y151" s="146"/>
      <c r="Z151" s="146"/>
      <c r="AA151" s="151"/>
      <c r="AB151" s="146"/>
      <c r="AC151" s="146"/>
      <c r="AD151" s="146"/>
      <c r="AE151" s="146"/>
      <c r="AF151" s="151"/>
      <c r="AG151" s="146"/>
      <c r="AH151" s="138"/>
    </row>
    <row r="152" spans="1:34" s="139" customFormat="1" ht="45" hidden="1" customHeight="1">
      <c r="A152" s="136"/>
      <c r="B152" s="144"/>
      <c r="C152" s="142"/>
      <c r="D152" s="142"/>
      <c r="E152" s="142"/>
      <c r="F152" s="146"/>
      <c r="G152" s="146"/>
      <c r="H152" s="163"/>
      <c r="I152" s="163"/>
      <c r="J152" s="142"/>
      <c r="K152" s="146"/>
      <c r="L152" s="146"/>
      <c r="M152" s="146"/>
      <c r="N152" s="146"/>
      <c r="O152" s="146"/>
      <c r="P152" s="146"/>
      <c r="Q152" s="151"/>
      <c r="R152" s="146"/>
      <c r="S152" s="146"/>
      <c r="T152" s="146"/>
      <c r="U152" s="146"/>
      <c r="V152" s="146"/>
      <c r="W152" s="146"/>
      <c r="X152" s="146"/>
      <c r="Y152" s="146"/>
      <c r="Z152" s="146"/>
      <c r="AA152" s="151"/>
      <c r="AB152" s="146"/>
      <c r="AC152" s="146"/>
      <c r="AD152" s="146"/>
      <c r="AE152" s="146"/>
      <c r="AF152" s="151"/>
      <c r="AG152" s="146"/>
      <c r="AH152" s="138"/>
    </row>
    <row r="153" spans="1:34" s="139" customFormat="1" ht="38.25" hidden="1" customHeight="1">
      <c r="A153" s="136"/>
      <c r="B153" s="144"/>
      <c r="C153" s="142"/>
      <c r="D153" s="142"/>
      <c r="E153" s="142"/>
      <c r="F153" s="146"/>
      <c r="G153" s="146"/>
      <c r="H153" s="163"/>
      <c r="I153" s="163"/>
      <c r="J153" s="142"/>
      <c r="K153" s="146"/>
      <c r="L153" s="146"/>
      <c r="M153" s="146"/>
      <c r="N153" s="146"/>
      <c r="O153" s="146"/>
      <c r="P153" s="146"/>
      <c r="Q153" s="151"/>
      <c r="R153" s="146"/>
      <c r="S153" s="146"/>
      <c r="T153" s="146"/>
      <c r="U153" s="146"/>
      <c r="V153" s="146"/>
      <c r="W153" s="146"/>
      <c r="X153" s="146"/>
      <c r="Y153" s="146"/>
      <c r="Z153" s="146"/>
      <c r="AA153" s="151"/>
      <c r="AB153" s="146"/>
      <c r="AC153" s="146"/>
      <c r="AD153" s="146"/>
      <c r="AE153" s="146"/>
      <c r="AF153" s="151"/>
      <c r="AG153" s="146"/>
      <c r="AH153" s="138"/>
    </row>
    <row r="154" spans="1:34" s="139" customFormat="1" ht="63" hidden="1" customHeight="1">
      <c r="A154" s="136"/>
      <c r="B154" s="144"/>
      <c r="C154" s="142"/>
      <c r="D154" s="142"/>
      <c r="E154" s="142"/>
      <c r="F154" s="146"/>
      <c r="G154" s="146"/>
      <c r="H154" s="163"/>
      <c r="I154" s="163"/>
      <c r="J154" s="142"/>
      <c r="K154" s="146"/>
      <c r="L154" s="146"/>
      <c r="M154" s="146"/>
      <c r="N154" s="146"/>
      <c r="O154" s="146"/>
      <c r="P154" s="146"/>
      <c r="Q154" s="151"/>
      <c r="R154" s="146"/>
      <c r="S154" s="146"/>
      <c r="T154" s="146"/>
      <c r="U154" s="146"/>
      <c r="V154" s="146"/>
      <c r="W154" s="146"/>
      <c r="X154" s="146"/>
      <c r="Y154" s="146"/>
      <c r="Z154" s="146"/>
      <c r="AA154" s="151"/>
      <c r="AB154" s="146"/>
      <c r="AC154" s="146"/>
      <c r="AD154" s="146"/>
      <c r="AE154" s="146"/>
      <c r="AF154" s="151"/>
      <c r="AG154" s="146"/>
      <c r="AH154" s="138"/>
    </row>
    <row r="155" spans="1:34" s="139" customFormat="1" ht="30" hidden="1" customHeight="1">
      <c r="A155" s="136"/>
      <c r="B155" s="144"/>
      <c r="C155" s="142"/>
      <c r="D155" s="142"/>
      <c r="E155" s="142"/>
      <c r="F155" s="146"/>
      <c r="G155" s="146"/>
      <c r="H155" s="163"/>
      <c r="I155" s="163"/>
      <c r="J155" s="142"/>
      <c r="K155" s="146"/>
      <c r="L155" s="146"/>
      <c r="M155" s="146"/>
      <c r="N155" s="146"/>
      <c r="O155" s="146"/>
      <c r="P155" s="146"/>
      <c r="Q155" s="151"/>
      <c r="R155" s="146"/>
      <c r="S155" s="146"/>
      <c r="T155" s="146"/>
      <c r="U155" s="146"/>
      <c r="V155" s="146"/>
      <c r="W155" s="146"/>
      <c r="X155" s="146"/>
      <c r="Y155" s="146"/>
      <c r="Z155" s="146"/>
      <c r="AA155" s="151"/>
      <c r="AB155" s="146"/>
      <c r="AC155" s="146"/>
      <c r="AD155" s="146"/>
      <c r="AE155" s="146"/>
      <c r="AF155" s="151"/>
      <c r="AG155" s="146"/>
      <c r="AH155" s="138"/>
    </row>
    <row r="156" spans="1:34" s="139" customFormat="1" ht="27" hidden="1" customHeight="1">
      <c r="A156" s="136"/>
      <c r="B156" s="144"/>
      <c r="C156" s="142"/>
      <c r="D156" s="142"/>
      <c r="E156" s="142"/>
      <c r="F156" s="146"/>
      <c r="G156" s="146"/>
      <c r="H156" s="163"/>
      <c r="I156" s="163"/>
      <c r="J156" s="142"/>
      <c r="K156" s="146"/>
      <c r="L156" s="146"/>
      <c r="M156" s="146"/>
      <c r="N156" s="146"/>
      <c r="O156" s="146"/>
      <c r="P156" s="146"/>
      <c r="Q156" s="151"/>
      <c r="R156" s="146"/>
      <c r="S156" s="146"/>
      <c r="T156" s="146"/>
      <c r="U156" s="146"/>
      <c r="V156" s="146"/>
      <c r="W156" s="146"/>
      <c r="X156" s="146"/>
      <c r="Y156" s="146"/>
      <c r="Z156" s="146"/>
      <c r="AA156" s="151"/>
      <c r="AB156" s="146"/>
      <c r="AC156" s="146"/>
      <c r="AD156" s="146"/>
      <c r="AE156" s="146"/>
      <c r="AF156" s="151"/>
      <c r="AG156" s="146"/>
      <c r="AH156" s="138"/>
    </row>
    <row r="157" spans="1:34" ht="38.25" hidden="1" customHeight="1">
      <c r="A157" s="136"/>
      <c r="B157" s="47"/>
      <c r="C157" s="14"/>
      <c r="D157" s="14"/>
      <c r="E157" s="14"/>
      <c r="F157" s="46"/>
      <c r="G157" s="46"/>
      <c r="H157" s="92"/>
      <c r="I157" s="92"/>
      <c r="J157" s="14"/>
      <c r="K157" s="46"/>
      <c r="L157" s="46"/>
      <c r="M157" s="46"/>
      <c r="N157" s="46"/>
      <c r="O157" s="46"/>
      <c r="P157" s="146"/>
      <c r="Q157" s="51"/>
      <c r="R157" s="46"/>
      <c r="S157" s="146"/>
      <c r="T157" s="146"/>
      <c r="U157" s="146"/>
      <c r="V157" s="146"/>
      <c r="W157" s="46"/>
      <c r="X157" s="46"/>
      <c r="Y157" s="46"/>
      <c r="Z157" s="146"/>
      <c r="AA157" s="51"/>
      <c r="AB157" s="46"/>
      <c r="AC157" s="46"/>
      <c r="AD157" s="46"/>
      <c r="AE157" s="146"/>
      <c r="AF157" s="51"/>
      <c r="AG157" s="46"/>
      <c r="AH157" s="3"/>
    </row>
    <row r="158" spans="1:34" ht="38.25" hidden="1" customHeight="1">
      <c r="A158" s="136"/>
      <c r="B158" s="47"/>
      <c r="C158" s="14"/>
      <c r="D158" s="14"/>
      <c r="E158" s="14"/>
      <c r="F158" s="46"/>
      <c r="G158" s="46"/>
      <c r="H158" s="92"/>
      <c r="I158" s="92"/>
      <c r="J158" s="14"/>
      <c r="K158" s="46"/>
      <c r="L158" s="46"/>
      <c r="M158" s="46"/>
      <c r="N158" s="46"/>
      <c r="O158" s="46"/>
      <c r="P158" s="146"/>
      <c r="Q158" s="51"/>
      <c r="R158" s="46"/>
      <c r="S158" s="146"/>
      <c r="T158" s="146"/>
      <c r="U158" s="146"/>
      <c r="V158" s="146"/>
      <c r="W158" s="46"/>
      <c r="X158" s="46"/>
      <c r="Y158" s="46"/>
      <c r="Z158" s="146"/>
      <c r="AA158" s="51"/>
      <c r="AB158" s="46"/>
      <c r="AC158" s="46"/>
      <c r="AD158" s="46"/>
      <c r="AE158" s="146"/>
      <c r="AF158" s="51"/>
      <c r="AG158" s="46"/>
      <c r="AH158" s="3"/>
    </row>
    <row r="159" spans="1:34" ht="26.25" hidden="1" customHeight="1">
      <c r="A159" s="136"/>
      <c r="B159" s="47"/>
      <c r="C159" s="14"/>
      <c r="D159" s="14"/>
      <c r="E159" s="14"/>
      <c r="F159" s="46"/>
      <c r="G159" s="46"/>
      <c r="H159" s="92"/>
      <c r="I159" s="92"/>
      <c r="J159" s="14"/>
      <c r="K159" s="46"/>
      <c r="L159" s="46"/>
      <c r="M159" s="46"/>
      <c r="N159" s="46"/>
      <c r="O159" s="46"/>
      <c r="P159" s="146"/>
      <c r="Q159" s="51"/>
      <c r="R159" s="46"/>
      <c r="S159" s="146"/>
      <c r="T159" s="146"/>
      <c r="U159" s="146"/>
      <c r="V159" s="146"/>
      <c r="W159" s="46"/>
      <c r="X159" s="46"/>
      <c r="Y159" s="46"/>
      <c r="Z159" s="146"/>
      <c r="AA159" s="51"/>
      <c r="AB159" s="46"/>
      <c r="AC159" s="46"/>
      <c r="AD159" s="46"/>
      <c r="AE159" s="146"/>
      <c r="AF159" s="51"/>
      <c r="AG159" s="46"/>
      <c r="AH159" s="3"/>
    </row>
    <row r="160" spans="1:34" ht="27.75" hidden="1" customHeight="1">
      <c r="A160" s="136"/>
      <c r="B160" s="47"/>
      <c r="C160" s="14"/>
      <c r="D160" s="14"/>
      <c r="E160" s="14"/>
      <c r="F160" s="46"/>
      <c r="G160" s="46"/>
      <c r="H160" s="92"/>
      <c r="I160" s="92"/>
      <c r="J160" s="14"/>
      <c r="K160" s="46"/>
      <c r="L160" s="46"/>
      <c r="M160" s="46"/>
      <c r="N160" s="46"/>
      <c r="O160" s="46"/>
      <c r="P160" s="146"/>
      <c r="Q160" s="51"/>
      <c r="R160" s="46"/>
      <c r="S160" s="146"/>
      <c r="T160" s="146"/>
      <c r="U160" s="146"/>
      <c r="V160" s="146"/>
      <c r="W160" s="46"/>
      <c r="X160" s="46"/>
      <c r="Y160" s="46"/>
      <c r="Z160" s="146"/>
      <c r="AA160" s="51"/>
      <c r="AB160" s="46"/>
      <c r="AC160" s="46"/>
      <c r="AD160" s="46"/>
      <c r="AE160" s="146"/>
      <c r="AF160" s="51"/>
      <c r="AG160" s="46"/>
      <c r="AH160" s="3"/>
    </row>
    <row r="161" spans="1:34" s="139" customFormat="1" ht="38.25" hidden="1" customHeight="1">
      <c r="A161" s="136"/>
      <c r="B161" s="144"/>
      <c r="C161" s="142"/>
      <c r="D161" s="142"/>
      <c r="E161" s="142"/>
      <c r="F161" s="146"/>
      <c r="G161" s="146"/>
      <c r="H161" s="163"/>
      <c r="I161" s="163"/>
      <c r="J161" s="142"/>
      <c r="K161" s="146"/>
      <c r="L161" s="146"/>
      <c r="M161" s="146"/>
      <c r="N161" s="146"/>
      <c r="O161" s="146"/>
      <c r="P161" s="146"/>
      <c r="Q161" s="151"/>
      <c r="R161" s="146"/>
      <c r="S161" s="146"/>
      <c r="T161" s="146"/>
      <c r="U161" s="146"/>
      <c r="V161" s="146"/>
      <c r="W161" s="146"/>
      <c r="X161" s="146"/>
      <c r="Y161" s="146"/>
      <c r="Z161" s="146"/>
      <c r="AA161" s="151"/>
      <c r="AB161" s="146"/>
      <c r="AC161" s="146"/>
      <c r="AD161" s="146"/>
      <c r="AE161" s="146"/>
      <c r="AF161" s="151"/>
      <c r="AG161" s="146"/>
      <c r="AH161" s="138"/>
    </row>
    <row r="162" spans="1:34" s="139" customFormat="1" ht="38.25" hidden="1" customHeight="1">
      <c r="A162" s="136"/>
      <c r="B162" s="144"/>
      <c r="C162" s="142"/>
      <c r="D162" s="142"/>
      <c r="E162" s="142"/>
      <c r="F162" s="146"/>
      <c r="G162" s="146"/>
      <c r="H162" s="163"/>
      <c r="I162" s="163"/>
      <c r="J162" s="142"/>
      <c r="K162" s="146"/>
      <c r="L162" s="146"/>
      <c r="M162" s="146"/>
      <c r="N162" s="146"/>
      <c r="O162" s="146"/>
      <c r="P162" s="146"/>
      <c r="Q162" s="151"/>
      <c r="R162" s="146"/>
      <c r="S162" s="146"/>
      <c r="T162" s="146"/>
      <c r="U162" s="146"/>
      <c r="V162" s="146"/>
      <c r="W162" s="146"/>
      <c r="X162" s="146"/>
      <c r="Y162" s="146"/>
      <c r="Z162" s="146"/>
      <c r="AA162" s="151"/>
      <c r="AB162" s="146"/>
      <c r="AC162" s="146"/>
      <c r="AD162" s="146"/>
      <c r="AE162" s="146"/>
      <c r="AF162" s="151"/>
      <c r="AG162" s="146"/>
      <c r="AH162" s="138"/>
    </row>
    <row r="163" spans="1:34" ht="38.25" hidden="1" customHeight="1">
      <c r="A163" s="136"/>
      <c r="B163" s="47"/>
      <c r="C163" s="14"/>
      <c r="D163" s="14"/>
      <c r="E163" s="14"/>
      <c r="F163" s="46"/>
      <c r="G163" s="46"/>
      <c r="H163" s="92"/>
      <c r="I163" s="92"/>
      <c r="J163" s="14"/>
      <c r="K163" s="46"/>
      <c r="L163" s="46"/>
      <c r="M163" s="46"/>
      <c r="N163" s="46"/>
      <c r="O163" s="46"/>
      <c r="P163" s="146"/>
      <c r="Q163" s="51"/>
      <c r="R163" s="46"/>
      <c r="S163" s="146"/>
      <c r="T163" s="146"/>
      <c r="U163" s="146"/>
      <c r="V163" s="146"/>
      <c r="W163" s="46"/>
      <c r="X163" s="46"/>
      <c r="Y163" s="46"/>
      <c r="Z163" s="146"/>
      <c r="AA163" s="51"/>
      <c r="AB163" s="46"/>
      <c r="AC163" s="46"/>
      <c r="AD163" s="46"/>
      <c r="AE163" s="146"/>
      <c r="AF163" s="51"/>
      <c r="AG163" s="46"/>
      <c r="AH163" s="3"/>
    </row>
    <row r="164" spans="1:34" ht="38.25" hidden="1" customHeight="1">
      <c r="A164" s="136"/>
      <c r="B164" s="47"/>
      <c r="C164" s="14"/>
      <c r="D164" s="14"/>
      <c r="E164" s="14"/>
      <c r="F164" s="46"/>
      <c r="G164" s="46"/>
      <c r="H164" s="92"/>
      <c r="I164" s="92"/>
      <c r="J164" s="14"/>
      <c r="K164" s="46"/>
      <c r="L164" s="46"/>
      <c r="M164" s="46"/>
      <c r="N164" s="46"/>
      <c r="O164" s="46"/>
      <c r="P164" s="146"/>
      <c r="Q164" s="51"/>
      <c r="R164" s="46"/>
      <c r="S164" s="146"/>
      <c r="T164" s="146"/>
      <c r="U164" s="146"/>
      <c r="V164" s="146"/>
      <c r="W164" s="46"/>
      <c r="X164" s="46"/>
      <c r="Y164" s="46"/>
      <c r="Z164" s="146"/>
      <c r="AA164" s="51"/>
      <c r="AB164" s="46"/>
      <c r="AC164" s="46"/>
      <c r="AD164" s="46"/>
      <c r="AE164" s="146"/>
      <c r="AF164" s="51"/>
      <c r="AG164" s="46"/>
      <c r="AH164" s="3"/>
    </row>
    <row r="165" spans="1:34" ht="38.25" hidden="1" customHeight="1">
      <c r="A165" s="136"/>
      <c r="B165" s="47"/>
      <c r="C165" s="14"/>
      <c r="D165" s="14"/>
      <c r="E165" s="14"/>
      <c r="F165" s="46"/>
      <c r="G165" s="46"/>
      <c r="H165" s="92"/>
      <c r="I165" s="92"/>
      <c r="J165" s="14"/>
      <c r="K165" s="46"/>
      <c r="L165" s="46"/>
      <c r="M165" s="46"/>
      <c r="N165" s="46"/>
      <c r="O165" s="46"/>
      <c r="P165" s="146"/>
      <c r="Q165" s="51"/>
      <c r="R165" s="46"/>
      <c r="S165" s="146"/>
      <c r="T165" s="146"/>
      <c r="U165" s="146"/>
      <c r="V165" s="146"/>
      <c r="W165" s="46"/>
      <c r="X165" s="46"/>
      <c r="Y165" s="46"/>
      <c r="Z165" s="146"/>
      <c r="AA165" s="51"/>
      <c r="AB165" s="46"/>
      <c r="AC165" s="46"/>
      <c r="AD165" s="46"/>
      <c r="AE165" s="146"/>
      <c r="AF165" s="51"/>
      <c r="AG165" s="46"/>
      <c r="AH165" s="3"/>
    </row>
    <row r="166" spans="1:34" ht="38.25" hidden="1" customHeight="1">
      <c r="A166" s="136"/>
      <c r="B166" s="47"/>
      <c r="C166" s="14"/>
      <c r="D166" s="14"/>
      <c r="E166" s="14"/>
      <c r="F166" s="46"/>
      <c r="G166" s="46"/>
      <c r="H166" s="92"/>
      <c r="I166" s="92"/>
      <c r="J166" s="14"/>
      <c r="K166" s="46"/>
      <c r="L166" s="46"/>
      <c r="M166" s="46"/>
      <c r="N166" s="46"/>
      <c r="O166" s="46"/>
      <c r="P166" s="146"/>
      <c r="Q166" s="51"/>
      <c r="R166" s="46"/>
      <c r="S166" s="146"/>
      <c r="T166" s="146"/>
      <c r="U166" s="146"/>
      <c r="V166" s="146"/>
      <c r="W166" s="46"/>
      <c r="X166" s="46"/>
      <c r="Y166" s="46"/>
      <c r="Z166" s="146"/>
      <c r="AA166" s="51"/>
      <c r="AB166" s="46"/>
      <c r="AC166" s="46"/>
      <c r="AD166" s="46"/>
      <c r="AE166" s="146"/>
      <c r="AF166" s="51"/>
      <c r="AG166" s="46"/>
      <c r="AH166" s="3"/>
    </row>
    <row r="167" spans="1:34" ht="38.25" hidden="1" customHeight="1">
      <c r="A167" s="136"/>
      <c r="B167" s="47"/>
      <c r="C167" s="14"/>
      <c r="D167" s="14"/>
      <c r="E167" s="14"/>
      <c r="F167" s="46"/>
      <c r="G167" s="46"/>
      <c r="H167" s="92"/>
      <c r="I167" s="92"/>
      <c r="J167" s="14"/>
      <c r="K167" s="46"/>
      <c r="L167" s="46"/>
      <c r="M167" s="46"/>
      <c r="N167" s="46"/>
      <c r="O167" s="46"/>
      <c r="P167" s="146"/>
      <c r="Q167" s="51"/>
      <c r="R167" s="46"/>
      <c r="S167" s="146"/>
      <c r="T167" s="146"/>
      <c r="U167" s="146"/>
      <c r="V167" s="146"/>
      <c r="W167" s="46"/>
      <c r="X167" s="46"/>
      <c r="Y167" s="46"/>
      <c r="Z167" s="146"/>
      <c r="AA167" s="51"/>
      <c r="AB167" s="46"/>
      <c r="AC167" s="46"/>
      <c r="AD167" s="46"/>
      <c r="AE167" s="146"/>
      <c r="AF167" s="51"/>
      <c r="AG167" s="46"/>
      <c r="AH167" s="3"/>
    </row>
    <row r="168" spans="1:34" s="139" customFormat="1" ht="38.25" hidden="1" customHeight="1">
      <c r="A168" s="136"/>
      <c r="B168" s="144"/>
      <c r="C168" s="142"/>
      <c r="D168" s="142"/>
      <c r="E168" s="142"/>
      <c r="F168" s="146"/>
      <c r="G168" s="146"/>
      <c r="H168" s="163"/>
      <c r="I168" s="163"/>
      <c r="J168" s="142"/>
      <c r="K168" s="146"/>
      <c r="L168" s="146"/>
      <c r="M168" s="146"/>
      <c r="N168" s="146"/>
      <c r="O168" s="146"/>
      <c r="P168" s="146"/>
      <c r="Q168" s="151"/>
      <c r="R168" s="146"/>
      <c r="S168" s="146"/>
      <c r="T168" s="146"/>
      <c r="U168" s="146"/>
      <c r="V168" s="146"/>
      <c r="W168" s="146"/>
      <c r="X168" s="146"/>
      <c r="Y168" s="146"/>
      <c r="Z168" s="146"/>
      <c r="AA168" s="151"/>
      <c r="AB168" s="146"/>
      <c r="AC168" s="146"/>
      <c r="AD168" s="146"/>
      <c r="AE168" s="146"/>
      <c r="AF168" s="151"/>
      <c r="AG168" s="146"/>
      <c r="AH168" s="138"/>
    </row>
    <row r="169" spans="1:34" s="139" customFormat="1" ht="38.25" hidden="1" customHeight="1">
      <c r="A169" s="136"/>
      <c r="B169" s="144"/>
      <c r="C169" s="142"/>
      <c r="D169" s="142"/>
      <c r="E169" s="142"/>
      <c r="F169" s="146"/>
      <c r="G169" s="146"/>
      <c r="H169" s="163"/>
      <c r="I169" s="163"/>
      <c r="J169" s="142"/>
      <c r="K169" s="146"/>
      <c r="L169" s="146"/>
      <c r="M169" s="146"/>
      <c r="N169" s="146"/>
      <c r="O169" s="146"/>
      <c r="P169" s="146"/>
      <c r="Q169" s="151"/>
      <c r="R169" s="146"/>
      <c r="S169" s="146"/>
      <c r="T169" s="146"/>
      <c r="U169" s="146"/>
      <c r="V169" s="146"/>
      <c r="W169" s="146"/>
      <c r="X169" s="146"/>
      <c r="Y169" s="146"/>
      <c r="Z169" s="146"/>
      <c r="AA169" s="151"/>
      <c r="AB169" s="146"/>
      <c r="AC169" s="146"/>
      <c r="AD169" s="146"/>
      <c r="AE169" s="146"/>
      <c r="AF169" s="151"/>
      <c r="AG169" s="146"/>
      <c r="AH169" s="138"/>
    </row>
    <row r="170" spans="1:34" s="139" customFormat="1" ht="38.25" hidden="1" customHeight="1">
      <c r="A170" s="136"/>
      <c r="B170" s="144"/>
      <c r="C170" s="142"/>
      <c r="D170" s="142"/>
      <c r="E170" s="142"/>
      <c r="F170" s="146"/>
      <c r="G170" s="146"/>
      <c r="H170" s="163"/>
      <c r="I170" s="163"/>
      <c r="J170" s="142"/>
      <c r="K170" s="146"/>
      <c r="L170" s="146"/>
      <c r="M170" s="146"/>
      <c r="N170" s="146"/>
      <c r="O170" s="146"/>
      <c r="P170" s="146"/>
      <c r="Q170" s="151"/>
      <c r="R170" s="146"/>
      <c r="S170" s="146"/>
      <c r="T170" s="146"/>
      <c r="U170" s="146"/>
      <c r="V170" s="146"/>
      <c r="W170" s="146"/>
      <c r="X170" s="146"/>
      <c r="Y170" s="146"/>
      <c r="Z170" s="146"/>
      <c r="AA170" s="151"/>
      <c r="AB170" s="146"/>
      <c r="AC170" s="146"/>
      <c r="AD170" s="146"/>
      <c r="AE170" s="146"/>
      <c r="AF170" s="151"/>
      <c r="AG170" s="146"/>
      <c r="AH170" s="138"/>
    </row>
    <row r="171" spans="1:34" s="139" customFormat="1" ht="38.25" hidden="1" customHeight="1">
      <c r="A171" s="136"/>
      <c r="B171" s="144"/>
      <c r="C171" s="142"/>
      <c r="D171" s="142"/>
      <c r="E171" s="142"/>
      <c r="F171" s="146"/>
      <c r="G171" s="146"/>
      <c r="H171" s="163"/>
      <c r="I171" s="163"/>
      <c r="J171" s="142"/>
      <c r="K171" s="146"/>
      <c r="L171" s="146"/>
      <c r="M171" s="146"/>
      <c r="N171" s="146"/>
      <c r="O171" s="146"/>
      <c r="P171" s="146"/>
      <c r="Q171" s="151"/>
      <c r="R171" s="146"/>
      <c r="S171" s="146"/>
      <c r="T171" s="146"/>
      <c r="U171" s="146"/>
      <c r="V171" s="146"/>
      <c r="W171" s="146"/>
      <c r="X171" s="146"/>
      <c r="Y171" s="146"/>
      <c r="Z171" s="146"/>
      <c r="AA171" s="151"/>
      <c r="AB171" s="146"/>
      <c r="AC171" s="146"/>
      <c r="AD171" s="146"/>
      <c r="AE171" s="146"/>
      <c r="AF171" s="151"/>
      <c r="AG171" s="146"/>
      <c r="AH171" s="138"/>
    </row>
    <row r="172" spans="1:34" s="139" customFormat="1" ht="38.25" hidden="1" customHeight="1">
      <c r="A172" s="136"/>
      <c r="B172" s="144"/>
      <c r="C172" s="142"/>
      <c r="D172" s="142"/>
      <c r="E172" s="142"/>
      <c r="F172" s="146"/>
      <c r="G172" s="146"/>
      <c r="H172" s="163"/>
      <c r="I172" s="163"/>
      <c r="J172" s="142"/>
      <c r="K172" s="146"/>
      <c r="L172" s="146"/>
      <c r="M172" s="146"/>
      <c r="N172" s="146"/>
      <c r="O172" s="146"/>
      <c r="P172" s="146"/>
      <c r="Q172" s="151"/>
      <c r="R172" s="146"/>
      <c r="S172" s="146"/>
      <c r="T172" s="146"/>
      <c r="U172" s="146"/>
      <c r="V172" s="146"/>
      <c r="W172" s="146"/>
      <c r="X172" s="146"/>
      <c r="Y172" s="146"/>
      <c r="Z172" s="146"/>
      <c r="AA172" s="151"/>
      <c r="AB172" s="146"/>
      <c r="AC172" s="146"/>
      <c r="AD172" s="146"/>
      <c r="AE172" s="146"/>
      <c r="AF172" s="151"/>
      <c r="AG172" s="146"/>
      <c r="AH172" s="138"/>
    </row>
    <row r="173" spans="1:34" s="139" customFormat="1" ht="38.25" hidden="1" customHeight="1">
      <c r="A173" s="136"/>
      <c r="B173" s="144"/>
      <c r="C173" s="142"/>
      <c r="D173" s="142"/>
      <c r="E173" s="142"/>
      <c r="F173" s="146"/>
      <c r="G173" s="146"/>
      <c r="H173" s="163"/>
      <c r="I173" s="163"/>
      <c r="J173" s="142"/>
      <c r="K173" s="146"/>
      <c r="L173" s="146"/>
      <c r="M173" s="146"/>
      <c r="N173" s="146"/>
      <c r="O173" s="146"/>
      <c r="P173" s="146"/>
      <c r="Q173" s="151"/>
      <c r="R173" s="146"/>
      <c r="S173" s="146"/>
      <c r="T173" s="146"/>
      <c r="U173" s="146"/>
      <c r="V173" s="146"/>
      <c r="W173" s="146"/>
      <c r="X173" s="146"/>
      <c r="Y173" s="146"/>
      <c r="Z173" s="146"/>
      <c r="AA173" s="151"/>
      <c r="AB173" s="146"/>
      <c r="AC173" s="146"/>
      <c r="AD173" s="146"/>
      <c r="AE173" s="146"/>
      <c r="AF173" s="151"/>
      <c r="AG173" s="146"/>
      <c r="AH173" s="138"/>
    </row>
    <row r="174" spans="1:34" s="139" customFormat="1" ht="38.25" hidden="1" customHeight="1">
      <c r="A174" s="136"/>
      <c r="B174" s="144"/>
      <c r="C174" s="142"/>
      <c r="D174" s="142"/>
      <c r="E174" s="142"/>
      <c r="F174" s="146"/>
      <c r="G174" s="146"/>
      <c r="H174" s="163"/>
      <c r="I174" s="163"/>
      <c r="J174" s="142"/>
      <c r="K174" s="146"/>
      <c r="L174" s="146"/>
      <c r="M174" s="146"/>
      <c r="N174" s="146"/>
      <c r="O174" s="146"/>
      <c r="P174" s="146"/>
      <c r="Q174" s="151"/>
      <c r="R174" s="146"/>
      <c r="S174" s="146"/>
      <c r="T174" s="146"/>
      <c r="U174" s="146"/>
      <c r="V174" s="146"/>
      <c r="W174" s="146"/>
      <c r="X174" s="146"/>
      <c r="Y174" s="146"/>
      <c r="Z174" s="146"/>
      <c r="AA174" s="151"/>
      <c r="AB174" s="146"/>
      <c r="AC174" s="146"/>
      <c r="AD174" s="146"/>
      <c r="AE174" s="146"/>
      <c r="AF174" s="151"/>
      <c r="AG174" s="146"/>
      <c r="AH174" s="138"/>
    </row>
    <row r="175" spans="1:34" s="139" customFormat="1" ht="38.25" hidden="1" customHeight="1">
      <c r="A175" s="136"/>
      <c r="B175" s="144"/>
      <c r="C175" s="142"/>
      <c r="D175" s="142"/>
      <c r="E175" s="142"/>
      <c r="F175" s="146"/>
      <c r="G175" s="146"/>
      <c r="H175" s="163"/>
      <c r="I175" s="163"/>
      <c r="J175" s="142"/>
      <c r="K175" s="146"/>
      <c r="L175" s="146"/>
      <c r="M175" s="146"/>
      <c r="N175" s="146"/>
      <c r="O175" s="146"/>
      <c r="P175" s="146"/>
      <c r="Q175" s="151"/>
      <c r="R175" s="146"/>
      <c r="S175" s="146"/>
      <c r="T175" s="146"/>
      <c r="U175" s="146"/>
      <c r="V175" s="146"/>
      <c r="W175" s="146"/>
      <c r="X175" s="146"/>
      <c r="Y175" s="146"/>
      <c r="Z175" s="146"/>
      <c r="AA175" s="151"/>
      <c r="AB175" s="146"/>
      <c r="AC175" s="146"/>
      <c r="AD175" s="146"/>
      <c r="AE175" s="146"/>
      <c r="AF175" s="151"/>
      <c r="AG175" s="146"/>
      <c r="AH175" s="138"/>
    </row>
    <row r="176" spans="1:34" s="139" customFormat="1" ht="38.25" hidden="1" customHeight="1">
      <c r="A176" s="136"/>
      <c r="B176" s="144"/>
      <c r="C176" s="142"/>
      <c r="D176" s="142"/>
      <c r="E176" s="142"/>
      <c r="F176" s="146"/>
      <c r="G176" s="146"/>
      <c r="H176" s="163"/>
      <c r="I176" s="163"/>
      <c r="J176" s="142"/>
      <c r="K176" s="146"/>
      <c r="L176" s="146"/>
      <c r="M176" s="146"/>
      <c r="N176" s="146"/>
      <c r="O176" s="146"/>
      <c r="P176" s="146"/>
      <c r="Q176" s="151"/>
      <c r="R176" s="146"/>
      <c r="S176" s="146"/>
      <c r="T176" s="146"/>
      <c r="U176" s="146"/>
      <c r="V176" s="146"/>
      <c r="W176" s="146"/>
      <c r="X176" s="146"/>
      <c r="Y176" s="146"/>
      <c r="Z176" s="146"/>
      <c r="AA176" s="151"/>
      <c r="AB176" s="146"/>
      <c r="AC176" s="146"/>
      <c r="AD176" s="146"/>
      <c r="AE176" s="146"/>
      <c r="AF176" s="151"/>
      <c r="AG176" s="146"/>
      <c r="AH176" s="138"/>
    </row>
    <row r="177" spans="1:34" s="139" customFormat="1" ht="38.25" customHeight="1">
      <c r="A177" s="230">
        <v>5</v>
      </c>
      <c r="B177" s="232" t="s">
        <v>328</v>
      </c>
      <c r="C177" s="142"/>
      <c r="D177" s="231"/>
      <c r="E177" s="142"/>
      <c r="F177" s="146"/>
      <c r="G177" s="146"/>
      <c r="H177" s="163"/>
      <c r="I177" s="163"/>
      <c r="J177" s="142"/>
      <c r="K177" s="183">
        <f>K178+K179</f>
        <v>19441.215</v>
      </c>
      <c r="L177" s="183">
        <f t="shared" ref="L177:W177" si="133">L178+L179</f>
        <v>836.67534199999989</v>
      </c>
      <c r="M177" s="183">
        <f t="shared" si="133"/>
        <v>0</v>
      </c>
      <c r="N177" s="635">
        <f t="shared" si="133"/>
        <v>10500</v>
      </c>
      <c r="O177" s="635">
        <f t="shared" si="133"/>
        <v>0</v>
      </c>
      <c r="P177" s="635">
        <f t="shared" si="133"/>
        <v>0</v>
      </c>
      <c r="Q177" s="635">
        <f t="shared" si="133"/>
        <v>10500</v>
      </c>
      <c r="R177" s="635">
        <f t="shared" si="133"/>
        <v>0</v>
      </c>
      <c r="S177" s="635">
        <f t="shared" si="133"/>
        <v>10037.478999999999</v>
      </c>
      <c r="T177" s="635">
        <f t="shared" si="133"/>
        <v>0</v>
      </c>
      <c r="U177" s="635">
        <f t="shared" si="133"/>
        <v>0</v>
      </c>
      <c r="V177" s="635">
        <f t="shared" si="133"/>
        <v>10037.478999999999</v>
      </c>
      <c r="W177" s="635">
        <f t="shared" si="133"/>
        <v>0</v>
      </c>
      <c r="X177" s="635">
        <f t="shared" ref="X177:AB177" si="134">X178+X179</f>
        <v>10500</v>
      </c>
      <c r="Y177" s="635">
        <f t="shared" si="134"/>
        <v>0</v>
      </c>
      <c r="Z177" s="635">
        <f t="shared" si="134"/>
        <v>0</v>
      </c>
      <c r="AA177" s="635">
        <f t="shared" si="134"/>
        <v>10500</v>
      </c>
      <c r="AB177" s="635">
        <f t="shared" si="134"/>
        <v>0</v>
      </c>
      <c r="AC177" s="635">
        <f t="shared" ref="AC177:AG177" si="135">AC178+AC179</f>
        <v>10500</v>
      </c>
      <c r="AD177" s="635">
        <f t="shared" si="135"/>
        <v>0</v>
      </c>
      <c r="AE177" s="635">
        <f t="shared" si="135"/>
        <v>0</v>
      </c>
      <c r="AF177" s="635">
        <f t="shared" si="135"/>
        <v>10500</v>
      </c>
      <c r="AG177" s="635">
        <f t="shared" si="135"/>
        <v>0</v>
      </c>
      <c r="AH177" s="138"/>
    </row>
    <row r="178" spans="1:34" s="139" customFormat="1" ht="41.25" customHeight="1">
      <c r="A178" s="222" t="s">
        <v>304</v>
      </c>
      <c r="B178" s="223" t="s">
        <v>305</v>
      </c>
      <c r="C178" s="142"/>
      <c r="D178" s="226"/>
      <c r="E178" s="142"/>
      <c r="F178" s="146"/>
      <c r="G178" s="146"/>
      <c r="H178" s="163"/>
      <c r="I178" s="163"/>
      <c r="J178" s="142"/>
      <c r="K178" s="146"/>
      <c r="L178" s="146"/>
      <c r="M178" s="146"/>
      <c r="N178" s="641">
        <v>0</v>
      </c>
      <c r="O178" s="641">
        <f>SUM(O257)</f>
        <v>0</v>
      </c>
      <c r="P178" s="641">
        <v>0</v>
      </c>
      <c r="Q178" s="641">
        <f t="shared" ref="Q178:W178" si="136">SUM(Q257)</f>
        <v>0</v>
      </c>
      <c r="R178" s="641">
        <f t="shared" si="136"/>
        <v>0</v>
      </c>
      <c r="S178" s="641">
        <v>0</v>
      </c>
      <c r="T178" s="641">
        <f t="shared" si="136"/>
        <v>0</v>
      </c>
      <c r="U178" s="641">
        <v>0</v>
      </c>
      <c r="V178" s="641">
        <f t="shared" si="136"/>
        <v>0</v>
      </c>
      <c r="W178" s="641">
        <f t="shared" si="136"/>
        <v>0</v>
      </c>
      <c r="X178" s="641">
        <v>0</v>
      </c>
      <c r="Y178" s="641">
        <f>SUM(Y257)</f>
        <v>0</v>
      </c>
      <c r="Z178" s="641">
        <v>0</v>
      </c>
      <c r="AA178" s="641">
        <f t="shared" ref="AA178:AB178" si="137">SUM(AA257)</f>
        <v>0</v>
      </c>
      <c r="AB178" s="641">
        <f t="shared" si="137"/>
        <v>0</v>
      </c>
      <c r="AC178" s="641">
        <v>0</v>
      </c>
      <c r="AD178" s="641">
        <f>SUM(AD257)</f>
        <v>0</v>
      </c>
      <c r="AE178" s="641">
        <v>0</v>
      </c>
      <c r="AF178" s="641">
        <f t="shared" ref="AF178:AG178" si="138">SUM(AF257)</f>
        <v>0</v>
      </c>
      <c r="AG178" s="641">
        <f t="shared" si="138"/>
        <v>0</v>
      </c>
      <c r="AH178" s="138"/>
    </row>
    <row r="179" spans="1:34" s="139" customFormat="1" ht="38.25" customHeight="1">
      <c r="A179" s="222" t="s">
        <v>280</v>
      </c>
      <c r="B179" s="223" t="s">
        <v>281</v>
      </c>
      <c r="C179" s="142"/>
      <c r="D179" s="226"/>
      <c r="E179" s="142"/>
      <c r="F179" s="146"/>
      <c r="G179" s="146"/>
      <c r="H179" s="163"/>
      <c r="I179" s="163"/>
      <c r="J179" s="142"/>
      <c r="K179" s="183">
        <f>SUM(K180:K187)</f>
        <v>19441.215</v>
      </c>
      <c r="L179" s="183">
        <f t="shared" ref="L179:AH179" si="139">SUM(L180:L187)</f>
        <v>836.67534199999989</v>
      </c>
      <c r="M179" s="183">
        <f t="shared" si="139"/>
        <v>0</v>
      </c>
      <c r="N179" s="635">
        <f t="shared" ref="N179:W179" si="140">SUM(N180:N187)</f>
        <v>10500</v>
      </c>
      <c r="O179" s="635">
        <f t="shared" si="140"/>
        <v>0</v>
      </c>
      <c r="P179" s="635">
        <f t="shared" si="140"/>
        <v>0</v>
      </c>
      <c r="Q179" s="635">
        <f t="shared" si="140"/>
        <v>10500</v>
      </c>
      <c r="R179" s="635">
        <f t="shared" si="140"/>
        <v>0</v>
      </c>
      <c r="S179" s="635">
        <f t="shared" si="140"/>
        <v>10037.478999999999</v>
      </c>
      <c r="T179" s="635">
        <f t="shared" si="140"/>
        <v>0</v>
      </c>
      <c r="U179" s="635">
        <f t="shared" si="140"/>
        <v>0</v>
      </c>
      <c r="V179" s="635">
        <f>SUM(V180:V187)</f>
        <v>10037.478999999999</v>
      </c>
      <c r="W179" s="635">
        <f t="shared" si="140"/>
        <v>0</v>
      </c>
      <c r="X179" s="635">
        <f t="shared" ref="X179:AB179" si="141">SUM(X180:X187)</f>
        <v>10500</v>
      </c>
      <c r="Y179" s="635">
        <f t="shared" si="141"/>
        <v>0</v>
      </c>
      <c r="Z179" s="635">
        <f t="shared" si="141"/>
        <v>0</v>
      </c>
      <c r="AA179" s="635">
        <f t="shared" si="141"/>
        <v>10500</v>
      </c>
      <c r="AB179" s="635">
        <f t="shared" si="141"/>
        <v>0</v>
      </c>
      <c r="AC179" s="635">
        <f t="shared" ref="AC179:AG179" si="142">SUM(AC180:AC187)</f>
        <v>10500</v>
      </c>
      <c r="AD179" s="635">
        <f t="shared" si="142"/>
        <v>0</v>
      </c>
      <c r="AE179" s="635">
        <f t="shared" si="142"/>
        <v>0</v>
      </c>
      <c r="AF179" s="635">
        <f t="shared" si="142"/>
        <v>10500</v>
      </c>
      <c r="AG179" s="635">
        <f t="shared" si="142"/>
        <v>0</v>
      </c>
      <c r="AH179" s="183">
        <f t="shared" si="139"/>
        <v>0</v>
      </c>
    </row>
    <row r="180" spans="1:34" s="21" customFormat="1" ht="47.25">
      <c r="A180" s="508">
        <v>1</v>
      </c>
      <c r="B180" s="509" t="s">
        <v>306</v>
      </c>
      <c r="C180" s="176" t="s">
        <v>61</v>
      </c>
      <c r="D180" s="219" t="s">
        <v>314</v>
      </c>
      <c r="E180" s="14" t="s">
        <v>52</v>
      </c>
      <c r="F180" s="113">
        <v>8036998</v>
      </c>
      <c r="G180" s="220">
        <v>73</v>
      </c>
      <c r="H180" s="110" t="s">
        <v>326</v>
      </c>
      <c r="I180" s="511" t="s">
        <v>80</v>
      </c>
      <c r="J180" s="176" t="s">
        <v>318</v>
      </c>
      <c r="K180" s="510">
        <v>2819.7260000000001</v>
      </c>
      <c r="L180" s="510">
        <v>134.27266499999999</v>
      </c>
      <c r="M180" s="46"/>
      <c r="N180" s="369">
        <f>SUM(O180:R180)</f>
        <v>1300</v>
      </c>
      <c r="O180" s="369"/>
      <c r="P180" s="369"/>
      <c r="Q180" s="651">
        <v>1300</v>
      </c>
      <c r="R180" s="369"/>
      <c r="S180" s="369">
        <f t="shared" ref="S180:S186" si="143">SUM(T180:W180)</f>
        <v>1263.867</v>
      </c>
      <c r="T180" s="369"/>
      <c r="U180" s="369"/>
      <c r="V180" s="592">
        <f>1263867000/1000000</f>
        <v>1263.867</v>
      </c>
      <c r="W180" s="592"/>
      <c r="X180" s="369">
        <f>SUM(Y180:AB180)</f>
        <v>1300</v>
      </c>
      <c r="Y180" s="369"/>
      <c r="Z180" s="369"/>
      <c r="AA180" s="651">
        <v>1300</v>
      </c>
      <c r="AB180" s="369"/>
      <c r="AC180" s="369">
        <f>SUM(AD180:AG180)</f>
        <v>1300</v>
      </c>
      <c r="AD180" s="369"/>
      <c r="AE180" s="369"/>
      <c r="AF180" s="651">
        <v>1300</v>
      </c>
      <c r="AG180" s="369"/>
      <c r="AH180" s="617"/>
    </row>
    <row r="181" spans="1:34" s="21" customFormat="1" ht="47.25">
      <c r="A181" s="508">
        <v>2</v>
      </c>
      <c r="B181" s="509" t="s">
        <v>307</v>
      </c>
      <c r="C181" s="176" t="s">
        <v>61</v>
      </c>
      <c r="D181" s="219" t="s">
        <v>66</v>
      </c>
      <c r="E181" s="14" t="s">
        <v>52</v>
      </c>
      <c r="F181" s="113">
        <v>8036997</v>
      </c>
      <c r="G181" s="220">
        <v>72</v>
      </c>
      <c r="H181" s="110" t="s">
        <v>326</v>
      </c>
      <c r="I181" s="511" t="s">
        <v>153</v>
      </c>
      <c r="J181" s="176" t="s">
        <v>319</v>
      </c>
      <c r="K181" s="510">
        <v>2176.3939999999998</v>
      </c>
      <c r="L181" s="510">
        <v>103.63779099999999</v>
      </c>
      <c r="M181" s="46"/>
      <c r="N181" s="370">
        <f t="shared" ref="N181:N186" si="144">SUM(O181:R181)</f>
        <v>1300</v>
      </c>
      <c r="O181" s="370"/>
      <c r="P181" s="652"/>
      <c r="Q181" s="365">
        <v>1300</v>
      </c>
      <c r="R181" s="370"/>
      <c r="S181" s="370">
        <f t="shared" si="143"/>
        <v>1300</v>
      </c>
      <c r="T181" s="365"/>
      <c r="U181" s="652"/>
      <c r="V181" s="370">
        <v>1300</v>
      </c>
      <c r="W181" s="370"/>
      <c r="X181" s="370">
        <f t="shared" ref="X181:X186" si="145">SUM(Y181:AB181)</f>
        <v>1300</v>
      </c>
      <c r="Y181" s="370"/>
      <c r="Z181" s="652"/>
      <c r="AA181" s="365">
        <v>1300</v>
      </c>
      <c r="AB181" s="370"/>
      <c r="AC181" s="370">
        <f t="shared" ref="AC181:AC186" si="146">SUM(AD181:AG181)</f>
        <v>1300</v>
      </c>
      <c r="AD181" s="370"/>
      <c r="AE181" s="652"/>
      <c r="AF181" s="365">
        <v>1300</v>
      </c>
      <c r="AG181" s="370"/>
      <c r="AH181" s="617"/>
    </row>
    <row r="182" spans="1:34" s="21" customFormat="1" ht="47.25">
      <c r="A182" s="508">
        <v>3</v>
      </c>
      <c r="B182" s="509" t="s">
        <v>308</v>
      </c>
      <c r="C182" s="176" t="s">
        <v>61</v>
      </c>
      <c r="D182" s="219" t="s">
        <v>66</v>
      </c>
      <c r="E182" s="14" t="s">
        <v>52</v>
      </c>
      <c r="F182" s="113">
        <v>8045914</v>
      </c>
      <c r="G182" s="220">
        <v>73</v>
      </c>
      <c r="H182" s="110" t="s">
        <v>326</v>
      </c>
      <c r="I182" s="511" t="s">
        <v>153</v>
      </c>
      <c r="J182" s="176" t="s">
        <v>320</v>
      </c>
      <c r="K182" s="510">
        <v>2602.3429999999998</v>
      </c>
      <c r="L182" s="510">
        <v>123.92108</v>
      </c>
      <c r="M182" s="46"/>
      <c r="N182" s="370">
        <f t="shared" si="144"/>
        <v>1500</v>
      </c>
      <c r="O182" s="370"/>
      <c r="P182" s="652"/>
      <c r="Q182" s="365">
        <v>1500</v>
      </c>
      <c r="R182" s="370"/>
      <c r="S182" s="370">
        <f t="shared" si="143"/>
        <v>1500</v>
      </c>
      <c r="T182" s="365"/>
      <c r="U182" s="652"/>
      <c r="V182" s="370">
        <f>1500000000/1000000</f>
        <v>1500</v>
      </c>
      <c r="W182" s="370"/>
      <c r="X182" s="370">
        <f t="shared" si="145"/>
        <v>1500</v>
      </c>
      <c r="Y182" s="370"/>
      <c r="Z182" s="652"/>
      <c r="AA182" s="365">
        <v>1500</v>
      </c>
      <c r="AB182" s="370"/>
      <c r="AC182" s="370">
        <f t="shared" si="146"/>
        <v>1500</v>
      </c>
      <c r="AD182" s="370"/>
      <c r="AE182" s="652"/>
      <c r="AF182" s="365">
        <v>1500</v>
      </c>
      <c r="AG182" s="370"/>
      <c r="AH182" s="617"/>
    </row>
    <row r="183" spans="1:34" s="21" customFormat="1" ht="47.25">
      <c r="A183" s="508">
        <v>4</v>
      </c>
      <c r="B183" s="509" t="s">
        <v>309</v>
      </c>
      <c r="C183" s="176" t="s">
        <v>61</v>
      </c>
      <c r="D183" s="219" t="s">
        <v>129</v>
      </c>
      <c r="E183" s="14" t="s">
        <v>52</v>
      </c>
      <c r="F183" s="113">
        <v>8052823</v>
      </c>
      <c r="G183" s="220">
        <v>72</v>
      </c>
      <c r="H183" s="110" t="s">
        <v>326</v>
      </c>
      <c r="I183" s="511" t="s">
        <v>153</v>
      </c>
      <c r="J183" s="176" t="s">
        <v>321</v>
      </c>
      <c r="K183" s="510">
        <v>2582.585</v>
      </c>
      <c r="L183" s="510">
        <v>122.980237</v>
      </c>
      <c r="M183" s="46"/>
      <c r="N183" s="370">
        <f t="shared" si="144"/>
        <v>1600</v>
      </c>
      <c r="O183" s="370"/>
      <c r="P183" s="652"/>
      <c r="Q183" s="365">
        <v>1600</v>
      </c>
      <c r="R183" s="370"/>
      <c r="S183" s="370">
        <f t="shared" si="143"/>
        <v>1600</v>
      </c>
      <c r="T183" s="365"/>
      <c r="U183" s="652"/>
      <c r="V183" s="370">
        <f>1600</f>
        <v>1600</v>
      </c>
      <c r="W183" s="370"/>
      <c r="X183" s="370">
        <f t="shared" si="145"/>
        <v>1600</v>
      </c>
      <c r="Y183" s="370"/>
      <c r="Z183" s="652"/>
      <c r="AA183" s="365">
        <v>1600</v>
      </c>
      <c r="AB183" s="370"/>
      <c r="AC183" s="370">
        <f t="shared" si="146"/>
        <v>1600</v>
      </c>
      <c r="AD183" s="370"/>
      <c r="AE183" s="652"/>
      <c r="AF183" s="365">
        <v>1600</v>
      </c>
      <c r="AG183" s="370"/>
      <c r="AH183" s="617"/>
    </row>
    <row r="184" spans="1:34" s="21" customFormat="1" ht="47.25">
      <c r="A184" s="508">
        <v>5</v>
      </c>
      <c r="B184" s="509" t="s">
        <v>310</v>
      </c>
      <c r="C184" s="176" t="s">
        <v>61</v>
      </c>
      <c r="D184" s="219" t="s">
        <v>315</v>
      </c>
      <c r="E184" s="14" t="s">
        <v>52</v>
      </c>
      <c r="F184" s="113">
        <v>8055705</v>
      </c>
      <c r="G184" s="220">
        <v>73</v>
      </c>
      <c r="H184" s="110" t="s">
        <v>327</v>
      </c>
      <c r="I184" s="511" t="s">
        <v>153</v>
      </c>
      <c r="J184" s="176" t="s">
        <v>322</v>
      </c>
      <c r="K184" s="510">
        <v>2301.58</v>
      </c>
      <c r="L184" s="510">
        <v>109.59903300000001</v>
      </c>
      <c r="M184" s="46"/>
      <c r="N184" s="370">
        <f t="shared" si="144"/>
        <v>1200</v>
      </c>
      <c r="O184" s="370"/>
      <c r="P184" s="652"/>
      <c r="Q184" s="365">
        <v>1200</v>
      </c>
      <c r="R184" s="370"/>
      <c r="S184" s="370">
        <f t="shared" si="143"/>
        <v>1200</v>
      </c>
      <c r="T184" s="365"/>
      <c r="U184" s="652"/>
      <c r="V184" s="370">
        <v>1200</v>
      </c>
      <c r="W184" s="370"/>
      <c r="X184" s="370">
        <f t="shared" si="145"/>
        <v>1200</v>
      </c>
      <c r="Y184" s="370"/>
      <c r="Z184" s="652"/>
      <c r="AA184" s="365">
        <v>1200</v>
      </c>
      <c r="AB184" s="370"/>
      <c r="AC184" s="370">
        <f t="shared" si="146"/>
        <v>1200</v>
      </c>
      <c r="AD184" s="370"/>
      <c r="AE184" s="652"/>
      <c r="AF184" s="365">
        <v>1200</v>
      </c>
      <c r="AG184" s="370"/>
      <c r="AH184" s="617"/>
    </row>
    <row r="185" spans="1:34" s="21" customFormat="1" ht="47.25">
      <c r="A185" s="508">
        <v>6</v>
      </c>
      <c r="B185" s="509" t="s">
        <v>311</v>
      </c>
      <c r="C185" s="176" t="s">
        <v>61</v>
      </c>
      <c r="D185" s="219" t="s">
        <v>316</v>
      </c>
      <c r="E185" s="14" t="s">
        <v>52</v>
      </c>
      <c r="F185" s="113">
        <v>8055704</v>
      </c>
      <c r="G185" s="220">
        <v>72</v>
      </c>
      <c r="H185" s="110" t="s">
        <v>327</v>
      </c>
      <c r="I185" s="511" t="s">
        <v>153</v>
      </c>
      <c r="J185" s="176" t="s">
        <v>323</v>
      </c>
      <c r="K185" s="510">
        <v>2362.1770000000001</v>
      </c>
      <c r="L185" s="510">
        <v>23.387893999999999</v>
      </c>
      <c r="M185" s="46"/>
      <c r="N185" s="370">
        <f t="shared" si="144"/>
        <v>1200</v>
      </c>
      <c r="O185" s="370"/>
      <c r="P185" s="652"/>
      <c r="Q185" s="365">
        <v>1200</v>
      </c>
      <c r="R185" s="370"/>
      <c r="S185" s="370">
        <f t="shared" si="143"/>
        <v>1200</v>
      </c>
      <c r="T185" s="365"/>
      <c r="U185" s="652"/>
      <c r="V185" s="370">
        <v>1200</v>
      </c>
      <c r="W185" s="370"/>
      <c r="X185" s="370">
        <f t="shared" si="145"/>
        <v>1200</v>
      </c>
      <c r="Y185" s="370"/>
      <c r="Z185" s="652"/>
      <c r="AA185" s="365">
        <v>1200</v>
      </c>
      <c r="AB185" s="370"/>
      <c r="AC185" s="370">
        <f t="shared" si="146"/>
        <v>1200</v>
      </c>
      <c r="AD185" s="370"/>
      <c r="AE185" s="652"/>
      <c r="AF185" s="365">
        <v>1200</v>
      </c>
      <c r="AG185" s="370"/>
      <c r="AH185" s="617"/>
    </row>
    <row r="186" spans="1:34" s="21" customFormat="1" ht="47.25">
      <c r="A186" s="508">
        <v>7</v>
      </c>
      <c r="B186" s="509" t="s">
        <v>312</v>
      </c>
      <c r="C186" s="176" t="s">
        <v>61</v>
      </c>
      <c r="D186" s="219" t="s">
        <v>317</v>
      </c>
      <c r="E186" s="14" t="s">
        <v>52</v>
      </c>
      <c r="F186" s="113">
        <v>8055719</v>
      </c>
      <c r="G186" s="220">
        <v>73</v>
      </c>
      <c r="H186" s="110" t="s">
        <v>327</v>
      </c>
      <c r="I186" s="511" t="s">
        <v>153</v>
      </c>
      <c r="J186" s="176" t="s">
        <v>324</v>
      </c>
      <c r="K186" s="510">
        <v>2345.2130000000002</v>
      </c>
      <c r="L186" s="510">
        <v>111.676794</v>
      </c>
      <c r="M186" s="46"/>
      <c r="N186" s="370">
        <f t="shared" si="144"/>
        <v>1200</v>
      </c>
      <c r="O186" s="370"/>
      <c r="P186" s="652"/>
      <c r="Q186" s="365">
        <v>1200</v>
      </c>
      <c r="R186" s="370"/>
      <c r="S186" s="370">
        <f t="shared" si="143"/>
        <v>796.59900000000005</v>
      </c>
      <c r="T186" s="365"/>
      <c r="U186" s="652"/>
      <c r="V186" s="370">
        <f>796599000/1000000</f>
        <v>796.59900000000005</v>
      </c>
      <c r="W186" s="370"/>
      <c r="X186" s="370">
        <f t="shared" si="145"/>
        <v>1200</v>
      </c>
      <c r="Y186" s="370"/>
      <c r="Z186" s="652"/>
      <c r="AA186" s="365">
        <v>1200</v>
      </c>
      <c r="AB186" s="370"/>
      <c r="AC186" s="370">
        <f t="shared" si="146"/>
        <v>1200</v>
      </c>
      <c r="AD186" s="370"/>
      <c r="AE186" s="652"/>
      <c r="AF186" s="365">
        <v>1200</v>
      </c>
      <c r="AG186" s="370"/>
      <c r="AH186" s="617"/>
    </row>
    <row r="187" spans="1:34" s="21" customFormat="1" ht="47.25">
      <c r="A187" s="508">
        <v>8</v>
      </c>
      <c r="B187" s="509" t="s">
        <v>313</v>
      </c>
      <c r="C187" s="176" t="s">
        <v>61</v>
      </c>
      <c r="D187" s="219" t="s">
        <v>301</v>
      </c>
      <c r="E187" s="14" t="s">
        <v>52</v>
      </c>
      <c r="F187" s="113">
        <v>8052825</v>
      </c>
      <c r="G187" s="220">
        <v>72</v>
      </c>
      <c r="H187" s="110" t="s">
        <v>327</v>
      </c>
      <c r="I187" s="511" t="s">
        <v>153</v>
      </c>
      <c r="J187" s="176" t="s">
        <v>325</v>
      </c>
      <c r="K187" s="510">
        <v>2251.1970000000001</v>
      </c>
      <c r="L187" s="510">
        <v>107.199848</v>
      </c>
      <c r="M187" s="46"/>
      <c r="N187" s="463">
        <f>SUM(O187:R187)</f>
        <v>1200</v>
      </c>
      <c r="O187" s="463"/>
      <c r="P187" s="654"/>
      <c r="Q187" s="653">
        <v>1200</v>
      </c>
      <c r="R187" s="463"/>
      <c r="S187" s="463">
        <f>SUM(T187:W187)</f>
        <v>1177.0129999999999</v>
      </c>
      <c r="T187" s="653"/>
      <c r="U187" s="635"/>
      <c r="V187" s="463">
        <f>1177013000/1000000</f>
        <v>1177.0129999999999</v>
      </c>
      <c r="W187" s="463"/>
      <c r="X187" s="463">
        <f>SUM(Y187:AB187)</f>
        <v>1200</v>
      </c>
      <c r="Y187" s="463"/>
      <c r="Z187" s="654"/>
      <c r="AA187" s="653">
        <v>1200</v>
      </c>
      <c r="AB187" s="463"/>
      <c r="AC187" s="463">
        <f>SUM(AD187:AG187)</f>
        <v>1200</v>
      </c>
      <c r="AD187" s="463"/>
      <c r="AE187" s="654"/>
      <c r="AF187" s="653">
        <v>1200</v>
      </c>
      <c r="AG187" s="463"/>
      <c r="AH187" s="617"/>
    </row>
    <row r="188" spans="1:34" s="253" customFormat="1" ht="16.5">
      <c r="A188" s="244" t="s">
        <v>10</v>
      </c>
      <c r="B188" s="245" t="s">
        <v>514</v>
      </c>
      <c r="C188" s="247"/>
      <c r="D188" s="247"/>
      <c r="E188" s="247"/>
      <c r="F188" s="257"/>
      <c r="G188" s="251"/>
      <c r="H188" s="250"/>
      <c r="I188" s="250"/>
      <c r="J188" s="247"/>
      <c r="K188" s="251">
        <f>K189+K190+K272+K277+K284+K294</f>
        <v>343263.54100000003</v>
      </c>
      <c r="L188" s="251">
        <f t="shared" ref="L188:W188" si="147">L189+L190+L272+L277+L284+L294</f>
        <v>8390.4276119999995</v>
      </c>
      <c r="M188" s="251">
        <f t="shared" si="147"/>
        <v>0</v>
      </c>
      <c r="N188" s="251">
        <f t="shared" si="147"/>
        <v>67620.256000000008</v>
      </c>
      <c r="O188" s="251">
        <f t="shared" si="147"/>
        <v>10620</v>
      </c>
      <c r="P188" s="251">
        <f t="shared" si="147"/>
        <v>57000.255999999994</v>
      </c>
      <c r="Q188" s="251">
        <f t="shared" si="147"/>
        <v>0</v>
      </c>
      <c r="R188" s="251">
        <f t="shared" si="147"/>
        <v>0</v>
      </c>
      <c r="S188" s="251">
        <f t="shared" si="147"/>
        <v>56452.000500000002</v>
      </c>
      <c r="T188" s="251">
        <f t="shared" si="147"/>
        <v>9598.9759999999987</v>
      </c>
      <c r="U188" s="251">
        <f t="shared" si="147"/>
        <v>46853.0245</v>
      </c>
      <c r="V188" s="251">
        <f t="shared" si="147"/>
        <v>0</v>
      </c>
      <c r="W188" s="251">
        <f t="shared" si="147"/>
        <v>0</v>
      </c>
      <c r="X188" s="251">
        <f t="shared" ref="X188:AB188" si="148">X189+X190+X272+X277+X284+X294</f>
        <v>67620.256000000008</v>
      </c>
      <c r="Y188" s="251">
        <f t="shared" si="148"/>
        <v>10620</v>
      </c>
      <c r="Z188" s="251">
        <f t="shared" si="148"/>
        <v>57000.255999999994</v>
      </c>
      <c r="AA188" s="251">
        <f t="shared" si="148"/>
        <v>0</v>
      </c>
      <c r="AB188" s="251">
        <f t="shared" si="148"/>
        <v>0</v>
      </c>
      <c r="AC188" s="251">
        <f t="shared" ref="AC188:AG188" si="149">AC189+AC190+AC272+AC277+AC284+AC294</f>
        <v>67620.256000000008</v>
      </c>
      <c r="AD188" s="251">
        <f t="shared" si="149"/>
        <v>10620</v>
      </c>
      <c r="AE188" s="251">
        <f t="shared" si="149"/>
        <v>57000.255999999994</v>
      </c>
      <c r="AF188" s="251">
        <f t="shared" si="149"/>
        <v>0</v>
      </c>
      <c r="AG188" s="251">
        <f t="shared" si="149"/>
        <v>0</v>
      </c>
      <c r="AH188" s="251"/>
    </row>
    <row r="189" spans="1:34" s="253" customFormat="1" ht="32.25" customHeight="1">
      <c r="A189" s="260">
        <v>-1</v>
      </c>
      <c r="B189" s="245" t="s">
        <v>515</v>
      </c>
      <c r="C189" s="258"/>
      <c r="D189" s="247"/>
      <c r="E189" s="247"/>
      <c r="F189" s="257"/>
      <c r="G189" s="252"/>
      <c r="H189" s="259"/>
      <c r="I189" s="259"/>
      <c r="J189" s="258"/>
      <c r="K189" s="252">
        <v>8500</v>
      </c>
      <c r="L189" s="252"/>
      <c r="M189" s="252"/>
      <c r="N189" s="265">
        <f t="shared" ref="N189" si="150">SUM(O189:R189)</f>
        <v>2500</v>
      </c>
      <c r="O189" s="252">
        <v>2500</v>
      </c>
      <c r="P189" s="252"/>
      <c r="Q189" s="252"/>
      <c r="R189" s="252"/>
      <c r="S189" s="265">
        <f t="shared" ref="S189" si="151">SUM(T189:W189)</f>
        <v>2500</v>
      </c>
      <c r="T189" s="252">
        <v>2500</v>
      </c>
      <c r="U189" s="252"/>
      <c r="V189" s="252"/>
      <c r="W189" s="252"/>
      <c r="X189" s="265">
        <f t="shared" ref="X189" si="152">SUM(Y189:AB189)</f>
        <v>2500</v>
      </c>
      <c r="Y189" s="252">
        <v>2500</v>
      </c>
      <c r="Z189" s="252"/>
      <c r="AA189" s="252"/>
      <c r="AB189" s="252"/>
      <c r="AC189" s="265">
        <f t="shared" ref="AC189" si="153">SUM(AD189:AG189)</f>
        <v>2500</v>
      </c>
      <c r="AD189" s="252">
        <v>2500</v>
      </c>
      <c r="AE189" s="252"/>
      <c r="AF189" s="252"/>
      <c r="AG189" s="252"/>
      <c r="AH189" s="251"/>
    </row>
    <row r="190" spans="1:34" s="273" customFormat="1">
      <c r="A190" s="260">
        <v>-2</v>
      </c>
      <c r="B190" s="266" t="s">
        <v>329</v>
      </c>
      <c r="C190" s="267"/>
      <c r="D190" s="268"/>
      <c r="E190" s="268"/>
      <c r="F190" s="269"/>
      <c r="G190" s="269"/>
      <c r="H190" s="267"/>
      <c r="I190" s="267"/>
      <c r="J190" s="270"/>
      <c r="K190" s="271">
        <f t="shared" ref="K190:W190" si="154">K191+K248+K255+K260+K269</f>
        <v>111743.193</v>
      </c>
      <c r="L190" s="271">
        <f t="shared" si="154"/>
        <v>0</v>
      </c>
      <c r="M190" s="271">
        <f t="shared" si="154"/>
        <v>0</v>
      </c>
      <c r="N190" s="271">
        <f t="shared" si="154"/>
        <v>5907.8294999999998</v>
      </c>
      <c r="O190" s="271">
        <f t="shared" si="154"/>
        <v>890.03900000000021</v>
      </c>
      <c r="P190" s="271">
        <f t="shared" si="154"/>
        <v>5017.7905000000001</v>
      </c>
      <c r="Q190" s="271">
        <f t="shared" si="154"/>
        <v>0</v>
      </c>
      <c r="R190" s="271">
        <f t="shared" si="154"/>
        <v>0</v>
      </c>
      <c r="S190" s="271">
        <f t="shared" si="154"/>
        <v>5482.0335000000005</v>
      </c>
      <c r="T190" s="271">
        <f t="shared" si="154"/>
        <v>932.31100000000026</v>
      </c>
      <c r="U190" s="271">
        <f t="shared" si="154"/>
        <v>4549.7224999999999</v>
      </c>
      <c r="V190" s="271">
        <f t="shared" si="154"/>
        <v>0</v>
      </c>
      <c r="W190" s="271">
        <f t="shared" si="154"/>
        <v>0</v>
      </c>
      <c r="X190" s="271">
        <f t="shared" ref="X190:AB190" si="155">X191+X248+X255+X260+X269</f>
        <v>5907.8294999999998</v>
      </c>
      <c r="Y190" s="271">
        <f t="shared" si="155"/>
        <v>890.03900000000021</v>
      </c>
      <c r="Z190" s="271">
        <f t="shared" si="155"/>
        <v>5017.7905000000001</v>
      </c>
      <c r="AA190" s="271">
        <f t="shared" si="155"/>
        <v>0</v>
      </c>
      <c r="AB190" s="271">
        <f t="shared" si="155"/>
        <v>0</v>
      </c>
      <c r="AC190" s="271">
        <f t="shared" ref="AC190:AG190" si="156">AC191+AC248+AC255+AC260+AC269</f>
        <v>5907.8294999999998</v>
      </c>
      <c r="AD190" s="271">
        <f t="shared" si="156"/>
        <v>890.03900000000021</v>
      </c>
      <c r="AE190" s="271">
        <f t="shared" si="156"/>
        <v>5017.7905000000001</v>
      </c>
      <c r="AF190" s="271">
        <f t="shared" si="156"/>
        <v>0</v>
      </c>
      <c r="AG190" s="271">
        <f t="shared" si="156"/>
        <v>0</v>
      </c>
      <c r="AH190" s="272"/>
    </row>
    <row r="191" spans="1:34" s="273" customFormat="1">
      <c r="A191" s="274"/>
      <c r="B191" s="275" t="s">
        <v>91</v>
      </c>
      <c r="C191" s="267"/>
      <c r="D191" s="268"/>
      <c r="E191" s="268"/>
      <c r="F191" s="269"/>
      <c r="G191" s="269"/>
      <c r="H191" s="267"/>
      <c r="I191" s="267"/>
      <c r="J191" s="270"/>
      <c r="K191" s="271">
        <f>+SUM(K192:K247)</f>
        <v>41330.709000000003</v>
      </c>
      <c r="L191" s="271">
        <f t="shared" ref="L191:AH191" si="157">+SUM(L192:L247)</f>
        <v>0</v>
      </c>
      <c r="M191" s="271">
        <f t="shared" si="157"/>
        <v>0</v>
      </c>
      <c r="N191" s="271">
        <f t="shared" si="157"/>
        <v>4907.9520000000002</v>
      </c>
      <c r="O191" s="271">
        <f t="shared" si="157"/>
        <v>842.00900000000024</v>
      </c>
      <c r="P191" s="271">
        <f t="shared" si="157"/>
        <v>4065.9430000000002</v>
      </c>
      <c r="Q191" s="271">
        <f t="shared" si="157"/>
        <v>0</v>
      </c>
      <c r="R191" s="271">
        <f t="shared" si="157"/>
        <v>0</v>
      </c>
      <c r="S191" s="271">
        <f>+SUM(S192:S247)</f>
        <v>4483.6540000000005</v>
      </c>
      <c r="T191" s="271">
        <f>+SUM(T192:T247)</f>
        <v>842.00900000000024</v>
      </c>
      <c r="U191" s="271">
        <f>+SUM(U192:U247)</f>
        <v>3641.6450000000004</v>
      </c>
      <c r="V191" s="271">
        <f t="shared" si="157"/>
        <v>0</v>
      </c>
      <c r="W191" s="271">
        <f t="shared" si="157"/>
        <v>0</v>
      </c>
      <c r="X191" s="271">
        <f t="shared" ref="X191:AB191" si="158">+SUM(X192:X247)</f>
        <v>4907.9520000000002</v>
      </c>
      <c r="Y191" s="271">
        <f t="shared" si="158"/>
        <v>842.00900000000024</v>
      </c>
      <c r="Z191" s="271">
        <f t="shared" si="158"/>
        <v>4065.9430000000002</v>
      </c>
      <c r="AA191" s="271">
        <f t="shared" si="158"/>
        <v>0</v>
      </c>
      <c r="AB191" s="271">
        <f t="shared" si="158"/>
        <v>0</v>
      </c>
      <c r="AC191" s="271">
        <f t="shared" ref="AC191:AG191" si="159">+SUM(AC192:AC247)</f>
        <v>4907.9520000000002</v>
      </c>
      <c r="AD191" s="271">
        <f t="shared" si="159"/>
        <v>842.00900000000024</v>
      </c>
      <c r="AE191" s="271">
        <f t="shared" si="159"/>
        <v>4065.9430000000002</v>
      </c>
      <c r="AF191" s="271">
        <f t="shared" si="159"/>
        <v>0</v>
      </c>
      <c r="AG191" s="271">
        <f t="shared" si="159"/>
        <v>0</v>
      </c>
      <c r="AH191" s="271">
        <f t="shared" si="157"/>
        <v>0</v>
      </c>
    </row>
    <row r="192" spans="1:34" s="21" customFormat="1" ht="110.25">
      <c r="A192" s="224">
        <v>1</v>
      </c>
      <c r="B192" s="225" t="s">
        <v>330</v>
      </c>
      <c r="C192" s="176" t="s">
        <v>61</v>
      </c>
      <c r="D192" s="227" t="s">
        <v>443</v>
      </c>
      <c r="E192" s="14" t="s">
        <v>42</v>
      </c>
      <c r="F192" s="228">
        <v>7917529</v>
      </c>
      <c r="G192" s="229">
        <v>292</v>
      </c>
      <c r="H192" s="111" t="s">
        <v>390</v>
      </c>
      <c r="I192" s="496" t="s">
        <v>48</v>
      </c>
      <c r="J192" s="512" t="s">
        <v>460</v>
      </c>
      <c r="K192" s="371">
        <v>2380.5219999999999</v>
      </c>
      <c r="L192" s="371"/>
      <c r="M192" s="146"/>
      <c r="N192" s="441">
        <f>SUM(O192:R192)</f>
        <v>127.51300000000001</v>
      </c>
      <c r="O192" s="441">
        <v>127.51300000000001</v>
      </c>
      <c r="P192" s="441"/>
      <c r="Q192" s="365"/>
      <c r="R192" s="441"/>
      <c r="S192" s="441">
        <f t="shared" ref="S192:S223" si="160">SUM(T192:W192)</f>
        <v>127.51300000000001</v>
      </c>
      <c r="T192" s="441">
        <v>127.51300000000001</v>
      </c>
      <c r="U192" s="513"/>
      <c r="V192" s="441"/>
      <c r="W192" s="146"/>
      <c r="X192" s="441">
        <f>SUM(Y192:AB192)</f>
        <v>127.51300000000001</v>
      </c>
      <c r="Y192" s="441">
        <v>127.51300000000001</v>
      </c>
      <c r="Z192" s="441"/>
      <c r="AA192" s="365"/>
      <c r="AB192" s="441"/>
      <c r="AC192" s="441">
        <f>SUM(AD192:AG192)</f>
        <v>127.51300000000001</v>
      </c>
      <c r="AD192" s="441">
        <v>127.51300000000001</v>
      </c>
      <c r="AE192" s="441"/>
      <c r="AF192" s="365"/>
      <c r="AG192" s="441"/>
      <c r="AH192" s="20"/>
    </row>
    <row r="193" spans="1:34" s="21" customFormat="1" ht="94.5">
      <c r="A193" s="224">
        <v>2</v>
      </c>
      <c r="B193" s="225" t="s">
        <v>331</v>
      </c>
      <c r="C193" s="176" t="s">
        <v>61</v>
      </c>
      <c r="D193" s="227" t="s">
        <v>93</v>
      </c>
      <c r="E193" s="14" t="s">
        <v>42</v>
      </c>
      <c r="F193" s="228">
        <v>7921833</v>
      </c>
      <c r="G193" s="229">
        <v>292</v>
      </c>
      <c r="H193" s="111" t="s">
        <v>391</v>
      </c>
      <c r="I193" s="496" t="s">
        <v>48</v>
      </c>
      <c r="J193" s="512" t="s">
        <v>461</v>
      </c>
      <c r="K193" s="371">
        <v>4474.6480000000001</v>
      </c>
      <c r="L193" s="371"/>
      <c r="M193" s="146"/>
      <c r="N193" s="441">
        <f t="shared" ref="N193:N211" si="161">SUM(O193:R193)</f>
        <v>131.648</v>
      </c>
      <c r="O193" s="441">
        <v>131.648</v>
      </c>
      <c r="P193" s="441"/>
      <c r="Q193" s="365"/>
      <c r="R193" s="441"/>
      <c r="S193" s="441">
        <f t="shared" si="160"/>
        <v>131.648</v>
      </c>
      <c r="T193" s="441">
        <v>131.648</v>
      </c>
      <c r="U193" s="513"/>
      <c r="V193" s="441"/>
      <c r="W193" s="146"/>
      <c r="X193" s="441">
        <f t="shared" ref="X193:X211" si="162">SUM(Y193:AB193)</f>
        <v>131.648</v>
      </c>
      <c r="Y193" s="441">
        <v>131.648</v>
      </c>
      <c r="Z193" s="441"/>
      <c r="AA193" s="365"/>
      <c r="AB193" s="441"/>
      <c r="AC193" s="441">
        <f t="shared" ref="AC193:AC211" si="163">SUM(AD193:AG193)</f>
        <v>131.648</v>
      </c>
      <c r="AD193" s="441">
        <v>131.648</v>
      </c>
      <c r="AE193" s="441"/>
      <c r="AF193" s="365"/>
      <c r="AG193" s="441"/>
      <c r="AH193" s="20"/>
    </row>
    <row r="194" spans="1:34" s="21" customFormat="1" ht="49.5">
      <c r="A194" s="224">
        <v>3</v>
      </c>
      <c r="B194" s="225" t="s">
        <v>332</v>
      </c>
      <c r="C194" s="176" t="s">
        <v>61</v>
      </c>
      <c r="D194" s="227" t="s">
        <v>93</v>
      </c>
      <c r="E194" s="14" t="s">
        <v>42</v>
      </c>
      <c r="F194" s="228">
        <v>7921821</v>
      </c>
      <c r="G194" s="229">
        <v>292</v>
      </c>
      <c r="H194" s="111" t="s">
        <v>392</v>
      </c>
      <c r="I194" s="496" t="s">
        <v>48</v>
      </c>
      <c r="J194" s="512" t="s">
        <v>462</v>
      </c>
      <c r="K194" s="371">
        <v>1008.085</v>
      </c>
      <c r="L194" s="371"/>
      <c r="M194" s="146"/>
      <c r="N194" s="441">
        <f t="shared" si="161"/>
        <v>5.7130000000000001</v>
      </c>
      <c r="O194" s="441">
        <v>5.7130000000000001</v>
      </c>
      <c r="P194" s="441"/>
      <c r="Q194" s="365"/>
      <c r="R194" s="441"/>
      <c r="S194" s="441">
        <f t="shared" si="160"/>
        <v>5.7130000000000001</v>
      </c>
      <c r="T194" s="441">
        <v>5.7130000000000001</v>
      </c>
      <c r="U194" s="513"/>
      <c r="V194" s="441"/>
      <c r="W194" s="146"/>
      <c r="X194" s="441">
        <f t="shared" si="162"/>
        <v>5.7130000000000001</v>
      </c>
      <c r="Y194" s="441">
        <v>5.7130000000000001</v>
      </c>
      <c r="Z194" s="441"/>
      <c r="AA194" s="365"/>
      <c r="AB194" s="441"/>
      <c r="AC194" s="441">
        <f t="shared" si="163"/>
        <v>5.7130000000000001</v>
      </c>
      <c r="AD194" s="441">
        <v>5.7130000000000001</v>
      </c>
      <c r="AE194" s="441"/>
      <c r="AF194" s="365"/>
      <c r="AG194" s="441"/>
      <c r="AH194" s="20"/>
    </row>
    <row r="195" spans="1:34" s="21" customFormat="1" ht="49.5">
      <c r="A195" s="224">
        <v>4</v>
      </c>
      <c r="B195" s="225" t="s">
        <v>333</v>
      </c>
      <c r="C195" s="176" t="s">
        <v>61</v>
      </c>
      <c r="D195" s="227" t="s">
        <v>79</v>
      </c>
      <c r="E195" s="14" t="s">
        <v>42</v>
      </c>
      <c r="F195" s="228">
        <v>7992101</v>
      </c>
      <c r="G195" s="229">
        <v>292</v>
      </c>
      <c r="H195" s="111" t="s">
        <v>393</v>
      </c>
      <c r="I195" s="496" t="s">
        <v>80</v>
      </c>
      <c r="J195" s="512" t="s">
        <v>463</v>
      </c>
      <c r="K195" s="371">
        <v>440.3</v>
      </c>
      <c r="L195" s="371"/>
      <c r="M195" s="146"/>
      <c r="N195" s="441">
        <f t="shared" si="161"/>
        <v>60.3</v>
      </c>
      <c r="O195" s="441">
        <v>60.3</v>
      </c>
      <c r="P195" s="441"/>
      <c r="Q195" s="365"/>
      <c r="R195" s="441"/>
      <c r="S195" s="441">
        <f t="shared" si="160"/>
        <v>60.3</v>
      </c>
      <c r="T195" s="441">
        <v>60.3</v>
      </c>
      <c r="U195" s="513"/>
      <c r="V195" s="441"/>
      <c r="W195" s="146"/>
      <c r="X195" s="441">
        <f t="shared" si="162"/>
        <v>60.3</v>
      </c>
      <c r="Y195" s="441">
        <v>60.3</v>
      </c>
      <c r="Z195" s="441"/>
      <c r="AA195" s="365"/>
      <c r="AB195" s="441"/>
      <c r="AC195" s="441">
        <f t="shared" si="163"/>
        <v>60.3</v>
      </c>
      <c r="AD195" s="441">
        <v>60.3</v>
      </c>
      <c r="AE195" s="441"/>
      <c r="AF195" s="365"/>
      <c r="AG195" s="441"/>
      <c r="AH195" s="20"/>
    </row>
    <row r="196" spans="1:34" s="21" customFormat="1" ht="49.5">
      <c r="A196" s="224">
        <v>5</v>
      </c>
      <c r="B196" s="225" t="s">
        <v>334</v>
      </c>
      <c r="C196" s="176" t="s">
        <v>61</v>
      </c>
      <c r="D196" s="227" t="s">
        <v>79</v>
      </c>
      <c r="E196" s="14" t="s">
        <v>42</v>
      </c>
      <c r="F196" s="228">
        <v>7992098</v>
      </c>
      <c r="G196" s="229">
        <v>292</v>
      </c>
      <c r="H196" s="111" t="s">
        <v>394</v>
      </c>
      <c r="I196" s="496" t="s">
        <v>80</v>
      </c>
      <c r="J196" s="512" t="s">
        <v>464</v>
      </c>
      <c r="K196" s="371">
        <v>448.38200000000001</v>
      </c>
      <c r="L196" s="371"/>
      <c r="M196" s="146"/>
      <c r="N196" s="441">
        <f t="shared" si="161"/>
        <v>5</v>
      </c>
      <c r="O196" s="441">
        <v>5</v>
      </c>
      <c r="P196" s="441"/>
      <c r="Q196" s="365"/>
      <c r="R196" s="441"/>
      <c r="S196" s="441">
        <f t="shared" si="160"/>
        <v>5</v>
      </c>
      <c r="T196" s="441">
        <v>5</v>
      </c>
      <c r="U196" s="513"/>
      <c r="V196" s="441"/>
      <c r="W196" s="146"/>
      <c r="X196" s="441">
        <f t="shared" si="162"/>
        <v>5</v>
      </c>
      <c r="Y196" s="441">
        <v>5</v>
      </c>
      <c r="Z196" s="441"/>
      <c r="AA196" s="365"/>
      <c r="AB196" s="441"/>
      <c r="AC196" s="441">
        <f t="shared" si="163"/>
        <v>5</v>
      </c>
      <c r="AD196" s="441">
        <v>5</v>
      </c>
      <c r="AE196" s="441"/>
      <c r="AF196" s="365"/>
      <c r="AG196" s="441"/>
      <c r="AH196" s="20"/>
    </row>
    <row r="197" spans="1:34" s="21" customFormat="1" ht="49.5">
      <c r="A197" s="224">
        <v>6</v>
      </c>
      <c r="B197" s="225" t="s">
        <v>335</v>
      </c>
      <c r="C197" s="176" t="s">
        <v>61</v>
      </c>
      <c r="D197" s="227" t="s">
        <v>93</v>
      </c>
      <c r="E197" s="14" t="s">
        <v>42</v>
      </c>
      <c r="F197" s="228">
        <v>7921829</v>
      </c>
      <c r="G197" s="229">
        <v>292</v>
      </c>
      <c r="H197" s="111" t="s">
        <v>395</v>
      </c>
      <c r="I197" s="496" t="s">
        <v>48</v>
      </c>
      <c r="J197" s="512" t="s">
        <v>465</v>
      </c>
      <c r="K197" s="371">
        <v>2065.7109999999998</v>
      </c>
      <c r="L197" s="371"/>
      <c r="M197" s="146"/>
      <c r="N197" s="441">
        <f t="shared" si="161"/>
        <v>149.71100000000001</v>
      </c>
      <c r="O197" s="441">
        <v>149.71100000000001</v>
      </c>
      <c r="P197" s="441"/>
      <c r="Q197" s="365"/>
      <c r="R197" s="441"/>
      <c r="S197" s="441">
        <f t="shared" si="160"/>
        <v>149.71100000000001</v>
      </c>
      <c r="T197" s="441">
        <v>149.71100000000001</v>
      </c>
      <c r="U197" s="513"/>
      <c r="V197" s="441"/>
      <c r="W197" s="146"/>
      <c r="X197" s="441">
        <f t="shared" si="162"/>
        <v>149.71100000000001</v>
      </c>
      <c r="Y197" s="441">
        <v>149.71100000000001</v>
      </c>
      <c r="Z197" s="441"/>
      <c r="AA197" s="365"/>
      <c r="AB197" s="441"/>
      <c r="AC197" s="441">
        <f t="shared" si="163"/>
        <v>149.71100000000001</v>
      </c>
      <c r="AD197" s="441">
        <v>149.71100000000001</v>
      </c>
      <c r="AE197" s="441"/>
      <c r="AF197" s="365"/>
      <c r="AG197" s="441"/>
      <c r="AH197" s="20"/>
    </row>
    <row r="198" spans="1:34" s="21" customFormat="1" ht="49.5">
      <c r="A198" s="224">
        <v>7</v>
      </c>
      <c r="B198" s="225" t="s">
        <v>336</v>
      </c>
      <c r="C198" s="176" t="s">
        <v>61</v>
      </c>
      <c r="D198" s="227" t="s">
        <v>79</v>
      </c>
      <c r="E198" s="14" t="s">
        <v>42</v>
      </c>
      <c r="F198" s="228">
        <v>7992100</v>
      </c>
      <c r="G198" s="229">
        <v>292</v>
      </c>
      <c r="H198" s="111" t="s">
        <v>396</v>
      </c>
      <c r="I198" s="496" t="s">
        <v>80</v>
      </c>
      <c r="J198" s="512" t="s">
        <v>466</v>
      </c>
      <c r="K198" s="371">
        <v>351.16399999999999</v>
      </c>
      <c r="L198" s="371"/>
      <c r="M198" s="146"/>
      <c r="N198" s="441">
        <f t="shared" si="161"/>
        <v>51.164000000000001</v>
      </c>
      <c r="O198" s="441">
        <v>51.164000000000001</v>
      </c>
      <c r="P198" s="441"/>
      <c r="Q198" s="365"/>
      <c r="R198" s="441"/>
      <c r="S198" s="441">
        <f t="shared" si="160"/>
        <v>51.164000000000001</v>
      </c>
      <c r="T198" s="441">
        <v>51.164000000000001</v>
      </c>
      <c r="U198" s="513"/>
      <c r="V198" s="441"/>
      <c r="W198" s="146"/>
      <c r="X198" s="441">
        <f t="shared" si="162"/>
        <v>51.164000000000001</v>
      </c>
      <c r="Y198" s="441">
        <v>51.164000000000001</v>
      </c>
      <c r="Z198" s="441"/>
      <c r="AA198" s="365"/>
      <c r="AB198" s="441"/>
      <c r="AC198" s="441">
        <f t="shared" si="163"/>
        <v>51.164000000000001</v>
      </c>
      <c r="AD198" s="441">
        <v>51.164000000000001</v>
      </c>
      <c r="AE198" s="441"/>
      <c r="AF198" s="365"/>
      <c r="AG198" s="441"/>
      <c r="AH198" s="20"/>
    </row>
    <row r="199" spans="1:34" s="21" customFormat="1" ht="49.5">
      <c r="A199" s="224">
        <v>8</v>
      </c>
      <c r="B199" s="225" t="s">
        <v>337</v>
      </c>
      <c r="C199" s="176" t="s">
        <v>61</v>
      </c>
      <c r="D199" s="227" t="s">
        <v>93</v>
      </c>
      <c r="E199" s="14" t="s">
        <v>42</v>
      </c>
      <c r="F199" s="228" t="s">
        <v>440</v>
      </c>
      <c r="G199" s="229">
        <v>292</v>
      </c>
      <c r="H199" s="111" t="s">
        <v>397</v>
      </c>
      <c r="I199" s="496" t="s">
        <v>48</v>
      </c>
      <c r="J199" s="512" t="s">
        <v>467</v>
      </c>
      <c r="K199" s="371">
        <v>1074.8520000000001</v>
      </c>
      <c r="L199" s="371"/>
      <c r="M199" s="146"/>
      <c r="N199" s="441">
        <f t="shared" si="161"/>
        <v>168.374</v>
      </c>
      <c r="O199" s="441">
        <v>168.374</v>
      </c>
      <c r="P199" s="441"/>
      <c r="Q199" s="365"/>
      <c r="R199" s="441"/>
      <c r="S199" s="441">
        <f t="shared" si="160"/>
        <v>168.374</v>
      </c>
      <c r="T199" s="441">
        <v>168.374</v>
      </c>
      <c r="U199" s="513"/>
      <c r="V199" s="441"/>
      <c r="W199" s="146"/>
      <c r="X199" s="441">
        <f t="shared" si="162"/>
        <v>168.374</v>
      </c>
      <c r="Y199" s="441">
        <v>168.374</v>
      </c>
      <c r="Z199" s="441"/>
      <c r="AA199" s="365"/>
      <c r="AB199" s="441"/>
      <c r="AC199" s="441">
        <f t="shared" si="163"/>
        <v>168.374</v>
      </c>
      <c r="AD199" s="441">
        <v>168.374</v>
      </c>
      <c r="AE199" s="441"/>
      <c r="AF199" s="365"/>
      <c r="AG199" s="441"/>
      <c r="AH199" s="20"/>
    </row>
    <row r="200" spans="1:34" s="21" customFormat="1" ht="82.5" customHeight="1">
      <c r="A200" s="224">
        <v>9</v>
      </c>
      <c r="B200" s="225" t="s">
        <v>44</v>
      </c>
      <c r="C200" s="176" t="s">
        <v>61</v>
      </c>
      <c r="D200" s="227" t="s">
        <v>93</v>
      </c>
      <c r="E200" s="14" t="s">
        <v>42</v>
      </c>
      <c r="F200" s="228" t="s">
        <v>49</v>
      </c>
      <c r="G200" s="229">
        <v>292</v>
      </c>
      <c r="H200" s="111" t="s">
        <v>50</v>
      </c>
      <c r="I200" s="496" t="s">
        <v>48</v>
      </c>
      <c r="J200" s="512" t="s">
        <v>468</v>
      </c>
      <c r="K200" s="371">
        <v>6031.8580000000002</v>
      </c>
      <c r="L200" s="371"/>
      <c r="M200" s="146"/>
      <c r="N200" s="441">
        <f t="shared" si="161"/>
        <v>5.4630000000000001</v>
      </c>
      <c r="O200" s="441">
        <f>5463000/1000000</f>
        <v>5.4630000000000001</v>
      </c>
      <c r="P200" s="441"/>
      <c r="Q200" s="365"/>
      <c r="R200" s="441"/>
      <c r="S200" s="441">
        <f t="shared" si="160"/>
        <v>5.4630000000000001</v>
      </c>
      <c r="T200" s="441">
        <f>5463000/1000000</f>
        <v>5.4630000000000001</v>
      </c>
      <c r="U200" s="513"/>
      <c r="V200" s="441"/>
      <c r="W200" s="146"/>
      <c r="X200" s="441">
        <f t="shared" si="162"/>
        <v>5.4630000000000001</v>
      </c>
      <c r="Y200" s="441">
        <f>5463000/1000000</f>
        <v>5.4630000000000001</v>
      </c>
      <c r="Z200" s="441"/>
      <c r="AA200" s="365"/>
      <c r="AB200" s="441"/>
      <c r="AC200" s="441">
        <f t="shared" si="163"/>
        <v>5.4630000000000001</v>
      </c>
      <c r="AD200" s="441">
        <f>5463000/1000000</f>
        <v>5.4630000000000001</v>
      </c>
      <c r="AE200" s="441"/>
      <c r="AF200" s="365"/>
      <c r="AG200" s="441"/>
      <c r="AH200" s="20"/>
    </row>
    <row r="201" spans="1:34" s="21" customFormat="1" ht="82.5" customHeight="1">
      <c r="A201" s="224">
        <v>10</v>
      </c>
      <c r="B201" s="225" t="s">
        <v>338</v>
      </c>
      <c r="C201" s="176" t="s">
        <v>61</v>
      </c>
      <c r="D201" s="227" t="s">
        <v>53</v>
      </c>
      <c r="E201" s="14" t="s">
        <v>52</v>
      </c>
      <c r="F201" s="228">
        <v>7917527</v>
      </c>
      <c r="G201" s="229">
        <v>292</v>
      </c>
      <c r="H201" s="111" t="s">
        <v>398</v>
      </c>
      <c r="I201" s="496" t="s">
        <v>48</v>
      </c>
      <c r="J201" s="512" t="s">
        <v>469</v>
      </c>
      <c r="K201" s="371">
        <v>2450.3939999999998</v>
      </c>
      <c r="L201" s="371"/>
      <c r="M201" s="146"/>
      <c r="N201" s="441">
        <f t="shared" si="161"/>
        <v>13.888</v>
      </c>
      <c r="O201" s="441">
        <v>13.888</v>
      </c>
      <c r="P201" s="441"/>
      <c r="Q201" s="365"/>
      <c r="R201" s="441"/>
      <c r="S201" s="441">
        <f t="shared" si="160"/>
        <v>13.888</v>
      </c>
      <c r="T201" s="441">
        <v>13.888</v>
      </c>
      <c r="U201" s="513"/>
      <c r="V201" s="441"/>
      <c r="W201" s="146"/>
      <c r="X201" s="441">
        <f t="shared" si="162"/>
        <v>13.888</v>
      </c>
      <c r="Y201" s="441">
        <v>13.888</v>
      </c>
      <c r="Z201" s="441"/>
      <c r="AA201" s="365"/>
      <c r="AB201" s="441"/>
      <c r="AC201" s="441">
        <f t="shared" si="163"/>
        <v>13.888</v>
      </c>
      <c r="AD201" s="441">
        <v>13.888</v>
      </c>
      <c r="AE201" s="441"/>
      <c r="AF201" s="365"/>
      <c r="AG201" s="441"/>
      <c r="AH201" s="20"/>
    </row>
    <row r="202" spans="1:34" s="21" customFormat="1" ht="82.5" customHeight="1">
      <c r="A202" s="224">
        <v>11</v>
      </c>
      <c r="B202" s="225" t="s">
        <v>339</v>
      </c>
      <c r="C202" s="176" t="s">
        <v>61</v>
      </c>
      <c r="D202" s="227" t="s">
        <v>93</v>
      </c>
      <c r="E202" s="14" t="s">
        <v>42</v>
      </c>
      <c r="F202" s="228" t="s">
        <v>441</v>
      </c>
      <c r="G202" s="229">
        <v>292</v>
      </c>
      <c r="H202" s="111" t="s">
        <v>399</v>
      </c>
      <c r="I202" s="496" t="s">
        <v>48</v>
      </c>
      <c r="J202" s="512" t="s">
        <v>470</v>
      </c>
      <c r="K202" s="371">
        <v>1053.922</v>
      </c>
      <c r="L202" s="371"/>
      <c r="M202" s="146"/>
      <c r="N202" s="441">
        <f t="shared" si="161"/>
        <v>4.0570000000000004</v>
      </c>
      <c r="O202" s="441">
        <v>4.0570000000000004</v>
      </c>
      <c r="P202" s="441"/>
      <c r="Q202" s="365"/>
      <c r="R202" s="441"/>
      <c r="S202" s="441">
        <f t="shared" si="160"/>
        <v>4.0570000000000004</v>
      </c>
      <c r="T202" s="441">
        <v>4.0570000000000004</v>
      </c>
      <c r="U202" s="513"/>
      <c r="V202" s="441"/>
      <c r="W202" s="146"/>
      <c r="X202" s="441">
        <f t="shared" si="162"/>
        <v>4.0570000000000004</v>
      </c>
      <c r="Y202" s="441">
        <v>4.0570000000000004</v>
      </c>
      <c r="Z202" s="441"/>
      <c r="AA202" s="365"/>
      <c r="AB202" s="441"/>
      <c r="AC202" s="441">
        <f t="shared" si="163"/>
        <v>4.0570000000000004</v>
      </c>
      <c r="AD202" s="441">
        <v>4.0570000000000004</v>
      </c>
      <c r="AE202" s="441"/>
      <c r="AF202" s="365"/>
      <c r="AG202" s="441"/>
      <c r="AH202" s="20"/>
    </row>
    <row r="203" spans="1:34" s="21" customFormat="1" ht="82.5" customHeight="1">
      <c r="A203" s="224">
        <v>12</v>
      </c>
      <c r="B203" s="225" t="s">
        <v>340</v>
      </c>
      <c r="C203" s="176" t="s">
        <v>61</v>
      </c>
      <c r="D203" s="227" t="s">
        <v>93</v>
      </c>
      <c r="E203" s="14" t="s">
        <v>42</v>
      </c>
      <c r="F203" s="228" t="s">
        <v>442</v>
      </c>
      <c r="G203" s="229">
        <v>292</v>
      </c>
      <c r="H203" s="111" t="s">
        <v>400</v>
      </c>
      <c r="I203" s="496" t="s">
        <v>48</v>
      </c>
      <c r="J203" s="512" t="s">
        <v>471</v>
      </c>
      <c r="K203" s="371">
        <v>1770.884</v>
      </c>
      <c r="L203" s="371"/>
      <c r="M203" s="146"/>
      <c r="N203" s="441">
        <f t="shared" si="161"/>
        <v>61.884</v>
      </c>
      <c r="O203" s="441">
        <v>61.884</v>
      </c>
      <c r="P203" s="441"/>
      <c r="Q203" s="365"/>
      <c r="R203" s="441"/>
      <c r="S203" s="441">
        <f t="shared" si="160"/>
        <v>61.884</v>
      </c>
      <c r="T203" s="441">
        <v>61.884</v>
      </c>
      <c r="U203" s="513"/>
      <c r="V203" s="441"/>
      <c r="W203" s="146"/>
      <c r="X203" s="441">
        <f t="shared" si="162"/>
        <v>61.884</v>
      </c>
      <c r="Y203" s="441">
        <v>61.884</v>
      </c>
      <c r="Z203" s="441"/>
      <c r="AA203" s="365"/>
      <c r="AB203" s="441"/>
      <c r="AC203" s="441">
        <f t="shared" si="163"/>
        <v>61.884</v>
      </c>
      <c r="AD203" s="441">
        <v>61.884</v>
      </c>
      <c r="AE203" s="441"/>
      <c r="AF203" s="365"/>
      <c r="AG203" s="441"/>
      <c r="AH203" s="20"/>
    </row>
    <row r="204" spans="1:34" s="21" customFormat="1" ht="82.5" customHeight="1">
      <c r="A204" s="224">
        <v>13</v>
      </c>
      <c r="B204" s="225" t="s">
        <v>341</v>
      </c>
      <c r="C204" s="176" t="s">
        <v>61</v>
      </c>
      <c r="D204" s="227" t="s">
        <v>444</v>
      </c>
      <c r="E204" s="14" t="s">
        <v>42</v>
      </c>
      <c r="F204" s="228">
        <v>7922610</v>
      </c>
      <c r="G204" s="229">
        <v>292</v>
      </c>
      <c r="H204" s="111" t="s">
        <v>401</v>
      </c>
      <c r="I204" s="496" t="s">
        <v>48</v>
      </c>
      <c r="J204" s="512" t="s">
        <v>472</v>
      </c>
      <c r="K204" s="371">
        <v>1108.452</v>
      </c>
      <c r="L204" s="371"/>
      <c r="M204" s="146"/>
      <c r="N204" s="441">
        <f t="shared" si="161"/>
        <v>8.452</v>
      </c>
      <c r="O204" s="441">
        <v>8.452</v>
      </c>
      <c r="P204" s="441"/>
      <c r="Q204" s="365"/>
      <c r="R204" s="441"/>
      <c r="S204" s="441">
        <f t="shared" si="160"/>
        <v>8.452</v>
      </c>
      <c r="T204" s="441">
        <v>8.452</v>
      </c>
      <c r="U204" s="513"/>
      <c r="V204" s="441"/>
      <c r="W204" s="146"/>
      <c r="X204" s="441">
        <f t="shared" si="162"/>
        <v>8.452</v>
      </c>
      <c r="Y204" s="441">
        <v>8.452</v>
      </c>
      <c r="Z204" s="441"/>
      <c r="AA204" s="365"/>
      <c r="AB204" s="441"/>
      <c r="AC204" s="441">
        <f t="shared" si="163"/>
        <v>8.452</v>
      </c>
      <c r="AD204" s="441">
        <v>8.452</v>
      </c>
      <c r="AE204" s="441"/>
      <c r="AF204" s="365"/>
      <c r="AG204" s="441"/>
      <c r="AH204" s="20"/>
    </row>
    <row r="205" spans="1:34" s="21" customFormat="1" ht="82.5" customHeight="1">
      <c r="A205" s="224">
        <v>14</v>
      </c>
      <c r="B205" s="225" t="s">
        <v>342</v>
      </c>
      <c r="C205" s="176" t="s">
        <v>61</v>
      </c>
      <c r="D205" s="227" t="s">
        <v>93</v>
      </c>
      <c r="E205" s="14" t="s">
        <v>42</v>
      </c>
      <c r="F205" s="228">
        <v>7921832</v>
      </c>
      <c r="G205" s="229">
        <v>292</v>
      </c>
      <c r="H205" s="111" t="s">
        <v>402</v>
      </c>
      <c r="I205" s="496" t="s">
        <v>48</v>
      </c>
      <c r="J205" s="512" t="s">
        <v>473</v>
      </c>
      <c r="K205" s="371">
        <v>12148.02</v>
      </c>
      <c r="L205" s="371"/>
      <c r="M205" s="146"/>
      <c r="N205" s="441">
        <f t="shared" si="161"/>
        <v>23.305</v>
      </c>
      <c r="O205" s="441">
        <v>23.204999999999998</v>
      </c>
      <c r="P205" s="513">
        <f>100000/1000000</f>
        <v>0.1</v>
      </c>
      <c r="Q205" s="365"/>
      <c r="R205" s="441"/>
      <c r="S205" s="441">
        <f t="shared" si="160"/>
        <v>23.305</v>
      </c>
      <c r="T205" s="441">
        <v>23.204999999999998</v>
      </c>
      <c r="U205" s="513">
        <f>100000/1000000</f>
        <v>0.1</v>
      </c>
      <c r="V205" s="441"/>
      <c r="W205" s="146"/>
      <c r="X205" s="441">
        <f t="shared" si="162"/>
        <v>23.305</v>
      </c>
      <c r="Y205" s="441">
        <v>23.204999999999998</v>
      </c>
      <c r="Z205" s="513">
        <f>100000/1000000</f>
        <v>0.1</v>
      </c>
      <c r="AA205" s="365"/>
      <c r="AB205" s="441"/>
      <c r="AC205" s="441">
        <f t="shared" si="163"/>
        <v>23.305</v>
      </c>
      <c r="AD205" s="441">
        <v>23.204999999999998</v>
      </c>
      <c r="AE205" s="513">
        <f>100000/1000000</f>
        <v>0.1</v>
      </c>
      <c r="AF205" s="365"/>
      <c r="AG205" s="441"/>
      <c r="AH205" s="20"/>
    </row>
    <row r="206" spans="1:34" s="21" customFormat="1" ht="82.5" customHeight="1">
      <c r="A206" s="224">
        <v>15</v>
      </c>
      <c r="B206" s="225" t="s">
        <v>718</v>
      </c>
      <c r="C206" s="176" t="s">
        <v>61</v>
      </c>
      <c r="D206" s="227" t="s">
        <v>79</v>
      </c>
      <c r="E206" s="14" t="s">
        <v>42</v>
      </c>
      <c r="F206" s="228">
        <v>7874719</v>
      </c>
      <c r="G206" s="229">
        <v>292</v>
      </c>
      <c r="H206" s="111"/>
      <c r="I206" s="496"/>
      <c r="J206" s="512"/>
      <c r="K206" s="371"/>
      <c r="L206" s="371"/>
      <c r="M206" s="146"/>
      <c r="N206" s="441">
        <f t="shared" si="161"/>
        <v>26.51</v>
      </c>
      <c r="O206" s="441"/>
      <c r="P206" s="441">
        <f>26510000/1000000</f>
        <v>26.51</v>
      </c>
      <c r="Q206" s="365"/>
      <c r="R206" s="441"/>
      <c r="S206" s="441">
        <f t="shared" si="160"/>
        <v>26.51</v>
      </c>
      <c r="T206" s="441"/>
      <c r="U206" s="441">
        <f>26510000/1000000</f>
        <v>26.51</v>
      </c>
      <c r="V206" s="441"/>
      <c r="W206" s="146"/>
      <c r="X206" s="441">
        <f t="shared" si="162"/>
        <v>26.51</v>
      </c>
      <c r="Y206" s="441"/>
      <c r="Z206" s="441">
        <f>26510000/1000000</f>
        <v>26.51</v>
      </c>
      <c r="AA206" s="365"/>
      <c r="AB206" s="441"/>
      <c r="AC206" s="441">
        <f t="shared" si="163"/>
        <v>26.51</v>
      </c>
      <c r="AD206" s="441"/>
      <c r="AE206" s="441">
        <f>26510000/1000000</f>
        <v>26.51</v>
      </c>
      <c r="AF206" s="365"/>
      <c r="AG206" s="441"/>
      <c r="AH206" s="20"/>
    </row>
    <row r="207" spans="1:34" s="21" customFormat="1" ht="82.5" customHeight="1">
      <c r="A207" s="224">
        <v>16</v>
      </c>
      <c r="B207" s="225" t="s">
        <v>719</v>
      </c>
      <c r="C207" s="176" t="s">
        <v>61</v>
      </c>
      <c r="D207" s="227" t="s">
        <v>79</v>
      </c>
      <c r="E207" s="14" t="s">
        <v>42</v>
      </c>
      <c r="F207" s="228">
        <v>7874718</v>
      </c>
      <c r="G207" s="229">
        <v>292</v>
      </c>
      <c r="H207" s="111"/>
      <c r="I207" s="496"/>
      <c r="J207" s="512"/>
      <c r="K207" s="371"/>
      <c r="L207" s="371"/>
      <c r="M207" s="146"/>
      <c r="N207" s="441">
        <f t="shared" si="161"/>
        <v>69.268000000000001</v>
      </c>
      <c r="O207" s="441"/>
      <c r="P207" s="441">
        <f>69268000/1000000</f>
        <v>69.268000000000001</v>
      </c>
      <c r="Q207" s="365"/>
      <c r="R207" s="441"/>
      <c r="S207" s="441">
        <f t="shared" si="160"/>
        <v>69.268000000000001</v>
      </c>
      <c r="T207" s="441"/>
      <c r="U207" s="441">
        <v>69.268000000000001</v>
      </c>
      <c r="V207" s="441"/>
      <c r="W207" s="146"/>
      <c r="X207" s="441">
        <f t="shared" si="162"/>
        <v>69.268000000000001</v>
      </c>
      <c r="Y207" s="441"/>
      <c r="Z207" s="441">
        <f>69268000/1000000</f>
        <v>69.268000000000001</v>
      </c>
      <c r="AA207" s="365"/>
      <c r="AB207" s="441"/>
      <c r="AC207" s="441">
        <f t="shared" si="163"/>
        <v>69.268000000000001</v>
      </c>
      <c r="AD207" s="441"/>
      <c r="AE207" s="441">
        <f>69268000/1000000</f>
        <v>69.268000000000001</v>
      </c>
      <c r="AF207" s="365"/>
      <c r="AG207" s="441"/>
      <c r="AH207" s="20"/>
    </row>
    <row r="208" spans="1:34" s="21" customFormat="1" ht="82.5" customHeight="1">
      <c r="A208" s="224">
        <v>17</v>
      </c>
      <c r="B208" s="225" t="s">
        <v>106</v>
      </c>
      <c r="C208" s="176" t="s">
        <v>61</v>
      </c>
      <c r="D208" s="227" t="s">
        <v>79</v>
      </c>
      <c r="E208" s="14" t="s">
        <v>42</v>
      </c>
      <c r="F208" s="228">
        <v>8003061</v>
      </c>
      <c r="G208" s="229">
        <v>292</v>
      </c>
      <c r="H208" s="111"/>
      <c r="I208" s="496"/>
      <c r="J208" s="512"/>
      <c r="K208" s="371"/>
      <c r="L208" s="371"/>
      <c r="M208" s="146"/>
      <c r="N208" s="441">
        <f t="shared" si="161"/>
        <v>54.765000000000001</v>
      </c>
      <c r="O208" s="441"/>
      <c r="P208" s="441">
        <f>54765000/1000000</f>
        <v>54.765000000000001</v>
      </c>
      <c r="Q208" s="365"/>
      <c r="R208" s="441"/>
      <c r="S208" s="441">
        <f t="shared" si="160"/>
        <v>54.765000000000001</v>
      </c>
      <c r="T208" s="441"/>
      <c r="U208" s="513">
        <v>54.765000000000001</v>
      </c>
      <c r="V208" s="441"/>
      <c r="W208" s="146"/>
      <c r="X208" s="441">
        <f t="shared" si="162"/>
        <v>54.765000000000001</v>
      </c>
      <c r="Y208" s="441"/>
      <c r="Z208" s="441">
        <f>54765000/1000000</f>
        <v>54.765000000000001</v>
      </c>
      <c r="AA208" s="365"/>
      <c r="AB208" s="441"/>
      <c r="AC208" s="441">
        <f t="shared" si="163"/>
        <v>54.765000000000001</v>
      </c>
      <c r="AD208" s="441"/>
      <c r="AE208" s="441">
        <f>54765000/1000000</f>
        <v>54.765000000000001</v>
      </c>
      <c r="AF208" s="365"/>
      <c r="AG208" s="441"/>
      <c r="AH208" s="20"/>
    </row>
    <row r="209" spans="1:34" s="21" customFormat="1" ht="82.5" customHeight="1">
      <c r="A209" s="224">
        <v>18</v>
      </c>
      <c r="B209" s="225" t="s">
        <v>77</v>
      </c>
      <c r="C209" s="176" t="s">
        <v>61</v>
      </c>
      <c r="D209" s="227" t="s">
        <v>79</v>
      </c>
      <c r="E209" s="14" t="s">
        <v>42</v>
      </c>
      <c r="F209" s="228">
        <v>7998813</v>
      </c>
      <c r="G209" s="229">
        <v>292</v>
      </c>
      <c r="H209" s="111"/>
      <c r="I209" s="496"/>
      <c r="J209" s="512"/>
      <c r="K209" s="371"/>
      <c r="L209" s="371"/>
      <c r="M209" s="146"/>
      <c r="N209" s="441">
        <f t="shared" si="161"/>
        <v>23.332999999999998</v>
      </c>
      <c r="O209" s="441"/>
      <c r="P209" s="441">
        <f>23333000/1000000</f>
        <v>23.332999999999998</v>
      </c>
      <c r="Q209" s="365"/>
      <c r="R209" s="441"/>
      <c r="S209" s="441">
        <f t="shared" si="160"/>
        <v>23.332999999999998</v>
      </c>
      <c r="T209" s="441"/>
      <c r="U209" s="513">
        <f>23333000/1000000</f>
        <v>23.332999999999998</v>
      </c>
      <c r="V209" s="441"/>
      <c r="W209" s="146"/>
      <c r="X209" s="441">
        <f t="shared" si="162"/>
        <v>23.332999999999998</v>
      </c>
      <c r="Y209" s="441"/>
      <c r="Z209" s="441">
        <f>23333000/1000000</f>
        <v>23.332999999999998</v>
      </c>
      <c r="AA209" s="365"/>
      <c r="AB209" s="441"/>
      <c r="AC209" s="441">
        <f t="shared" si="163"/>
        <v>23.332999999999998</v>
      </c>
      <c r="AD209" s="441"/>
      <c r="AE209" s="441">
        <f>23333000/1000000</f>
        <v>23.332999999999998</v>
      </c>
      <c r="AF209" s="365"/>
      <c r="AG209" s="441"/>
      <c r="AH209" s="20"/>
    </row>
    <row r="210" spans="1:34" s="21" customFormat="1" ht="82.5" customHeight="1">
      <c r="A210" s="224">
        <v>19</v>
      </c>
      <c r="B210" s="225" t="s">
        <v>46</v>
      </c>
      <c r="C210" s="176" t="s">
        <v>61</v>
      </c>
      <c r="D210" s="227" t="s">
        <v>93</v>
      </c>
      <c r="E210" s="14" t="s">
        <v>42</v>
      </c>
      <c r="F210" s="228">
        <v>7921830</v>
      </c>
      <c r="G210" s="229">
        <v>292</v>
      </c>
      <c r="H210" s="111"/>
      <c r="I210" s="496"/>
      <c r="J210" s="512"/>
      <c r="K210" s="371"/>
      <c r="L210" s="371"/>
      <c r="M210" s="146"/>
      <c r="N210" s="441">
        <f t="shared" si="161"/>
        <v>4.2130000000000001</v>
      </c>
      <c r="O210" s="441"/>
      <c r="P210" s="513">
        <f>4213000/1000000</f>
        <v>4.2130000000000001</v>
      </c>
      <c r="Q210" s="365"/>
      <c r="R210" s="441"/>
      <c r="S210" s="441">
        <f t="shared" si="160"/>
        <v>4.2130000000000001</v>
      </c>
      <c r="T210" s="441"/>
      <c r="U210" s="513">
        <f>4213000/1000000</f>
        <v>4.2130000000000001</v>
      </c>
      <c r="V210" s="441"/>
      <c r="W210" s="146"/>
      <c r="X210" s="441">
        <f t="shared" si="162"/>
        <v>4.2130000000000001</v>
      </c>
      <c r="Y210" s="441"/>
      <c r="Z210" s="513">
        <f>4213000/1000000</f>
        <v>4.2130000000000001</v>
      </c>
      <c r="AA210" s="365"/>
      <c r="AB210" s="441"/>
      <c r="AC210" s="441">
        <f t="shared" si="163"/>
        <v>4.2130000000000001</v>
      </c>
      <c r="AD210" s="441"/>
      <c r="AE210" s="513">
        <f>4213000/1000000</f>
        <v>4.2130000000000001</v>
      </c>
      <c r="AF210" s="365"/>
      <c r="AG210" s="441"/>
      <c r="AH210" s="20"/>
    </row>
    <row r="211" spans="1:34" s="182" customFormat="1" ht="82.5" customHeight="1">
      <c r="A211" s="224">
        <v>20</v>
      </c>
      <c r="B211" s="225" t="s">
        <v>517</v>
      </c>
      <c r="C211" s="176" t="s">
        <v>61</v>
      </c>
      <c r="D211" s="227" t="s">
        <v>102</v>
      </c>
      <c r="E211" s="14" t="s">
        <v>42</v>
      </c>
      <c r="F211" s="228">
        <v>8008350</v>
      </c>
      <c r="G211" s="229">
        <v>292</v>
      </c>
      <c r="H211" s="111"/>
      <c r="I211" s="496"/>
      <c r="J211" s="512"/>
      <c r="K211" s="371"/>
      <c r="L211" s="371"/>
      <c r="M211" s="146"/>
      <c r="N211" s="441">
        <f t="shared" si="161"/>
        <v>677.18700000000001</v>
      </c>
      <c r="O211" s="441"/>
      <c r="P211" s="513">
        <f>677187000/1000000</f>
        <v>677.18700000000001</v>
      </c>
      <c r="Q211" s="365"/>
      <c r="R211" s="441"/>
      <c r="S211" s="441">
        <f t="shared" si="160"/>
        <v>677.18700000000001</v>
      </c>
      <c r="T211" s="441"/>
      <c r="U211" s="441">
        <f>677187000/1000000</f>
        <v>677.18700000000001</v>
      </c>
      <c r="V211" s="441"/>
      <c r="W211" s="146"/>
      <c r="X211" s="441">
        <f t="shared" si="162"/>
        <v>677.18700000000001</v>
      </c>
      <c r="Y211" s="441"/>
      <c r="Z211" s="513">
        <f>677187000/1000000</f>
        <v>677.18700000000001</v>
      </c>
      <c r="AA211" s="365"/>
      <c r="AB211" s="441"/>
      <c r="AC211" s="441">
        <f t="shared" si="163"/>
        <v>677.18700000000001</v>
      </c>
      <c r="AD211" s="441"/>
      <c r="AE211" s="513">
        <f>677187000/1000000</f>
        <v>677.18700000000001</v>
      </c>
      <c r="AF211" s="365"/>
      <c r="AG211" s="441"/>
      <c r="AH211" s="181"/>
    </row>
    <row r="212" spans="1:34" s="21" customFormat="1" ht="82.5" customHeight="1">
      <c r="A212" s="224">
        <v>21</v>
      </c>
      <c r="B212" s="225" t="s">
        <v>343</v>
      </c>
      <c r="C212" s="176" t="s">
        <v>61</v>
      </c>
      <c r="D212" s="227" t="s">
        <v>443</v>
      </c>
      <c r="E212" s="14" t="s">
        <v>42</v>
      </c>
      <c r="F212" s="228">
        <v>7917530</v>
      </c>
      <c r="G212" s="229">
        <v>292</v>
      </c>
      <c r="H212" s="111" t="s">
        <v>403</v>
      </c>
      <c r="I212" s="496" t="s">
        <v>48</v>
      </c>
      <c r="J212" s="512" t="s">
        <v>474</v>
      </c>
      <c r="K212" s="371">
        <v>4523.5150000000003</v>
      </c>
      <c r="L212" s="371"/>
      <c r="M212" s="146"/>
      <c r="N212" s="441">
        <f t="shared" ref="N212:N247" si="164">SUM(O212:R212)</f>
        <v>25.637</v>
      </c>
      <c r="O212" s="441">
        <v>25.637</v>
      </c>
      <c r="P212" s="513"/>
      <c r="Q212" s="365"/>
      <c r="R212" s="441"/>
      <c r="S212" s="441">
        <f t="shared" si="160"/>
        <v>25.637</v>
      </c>
      <c r="T212" s="441">
        <v>25.637</v>
      </c>
      <c r="U212" s="513"/>
      <c r="V212" s="441"/>
      <c r="W212" s="146"/>
      <c r="X212" s="441">
        <f t="shared" ref="X212:X247" si="165">SUM(Y212:AB212)</f>
        <v>25.637</v>
      </c>
      <c r="Y212" s="441">
        <v>25.637</v>
      </c>
      <c r="Z212" s="513"/>
      <c r="AA212" s="365"/>
      <c r="AB212" s="441"/>
      <c r="AC212" s="441">
        <f t="shared" ref="AC212:AC247" si="166">SUM(AD212:AG212)</f>
        <v>25.637</v>
      </c>
      <c r="AD212" s="441">
        <v>25.637</v>
      </c>
      <c r="AE212" s="513"/>
      <c r="AF212" s="365"/>
      <c r="AG212" s="441"/>
      <c r="AH212" s="20"/>
    </row>
    <row r="213" spans="1:34" s="21" customFormat="1" ht="82.5" customHeight="1">
      <c r="A213" s="224">
        <v>22</v>
      </c>
      <c r="B213" s="225" t="s">
        <v>720</v>
      </c>
      <c r="C213" s="176" t="s">
        <v>61</v>
      </c>
      <c r="D213" s="227" t="s">
        <v>603</v>
      </c>
      <c r="E213" s="14" t="s">
        <v>42</v>
      </c>
      <c r="F213" s="228">
        <v>7925992</v>
      </c>
      <c r="G213" s="229">
        <v>292</v>
      </c>
      <c r="H213" s="111"/>
      <c r="I213" s="496"/>
      <c r="J213" s="512"/>
      <c r="K213" s="371"/>
      <c r="L213" s="371"/>
      <c r="M213" s="146"/>
      <c r="N213" s="441">
        <f t="shared" si="164"/>
        <v>5.9859999999999998</v>
      </c>
      <c r="O213" s="441"/>
      <c r="P213" s="513">
        <f>5986000/1000000</f>
        <v>5.9859999999999998</v>
      </c>
      <c r="Q213" s="365"/>
      <c r="R213" s="441"/>
      <c r="S213" s="441">
        <f t="shared" si="160"/>
        <v>5.9859999999999998</v>
      </c>
      <c r="T213" s="441"/>
      <c r="U213" s="513">
        <f>5986000/1000000</f>
        <v>5.9859999999999998</v>
      </c>
      <c r="V213" s="441"/>
      <c r="W213" s="146"/>
      <c r="X213" s="441">
        <f t="shared" si="165"/>
        <v>5.9859999999999998</v>
      </c>
      <c r="Y213" s="441"/>
      <c r="Z213" s="513">
        <f>5986000/1000000</f>
        <v>5.9859999999999998</v>
      </c>
      <c r="AA213" s="365"/>
      <c r="AB213" s="441"/>
      <c r="AC213" s="441">
        <f t="shared" si="166"/>
        <v>5.9859999999999998</v>
      </c>
      <c r="AD213" s="441"/>
      <c r="AE213" s="513">
        <f>5986000/1000000</f>
        <v>5.9859999999999998</v>
      </c>
      <c r="AF213" s="365"/>
      <c r="AG213" s="441"/>
      <c r="AH213" s="20"/>
    </row>
    <row r="214" spans="1:34" s="21" customFormat="1" ht="82.5" customHeight="1">
      <c r="A214" s="224">
        <v>23</v>
      </c>
      <c r="B214" s="225" t="s">
        <v>554</v>
      </c>
      <c r="C214" s="176" t="s">
        <v>61</v>
      </c>
      <c r="D214" s="227" t="s">
        <v>93</v>
      </c>
      <c r="E214" s="14" t="s">
        <v>42</v>
      </c>
      <c r="F214" s="228">
        <v>7925980</v>
      </c>
      <c r="G214" s="229">
        <v>292</v>
      </c>
      <c r="H214" s="111"/>
      <c r="I214" s="496"/>
      <c r="J214" s="512"/>
      <c r="K214" s="371"/>
      <c r="L214" s="371"/>
      <c r="M214" s="146"/>
      <c r="N214" s="441">
        <f t="shared" si="164"/>
        <v>26.992000000000001</v>
      </c>
      <c r="O214" s="441"/>
      <c r="P214" s="513">
        <f>26992000/1000000</f>
        <v>26.992000000000001</v>
      </c>
      <c r="Q214" s="365"/>
      <c r="R214" s="441"/>
      <c r="S214" s="441">
        <f t="shared" si="160"/>
        <v>26.992000000000001</v>
      </c>
      <c r="T214" s="441"/>
      <c r="U214" s="513">
        <f>26992000/1000000</f>
        <v>26.992000000000001</v>
      </c>
      <c r="V214" s="441"/>
      <c r="W214" s="146"/>
      <c r="X214" s="441">
        <f t="shared" si="165"/>
        <v>26.992000000000001</v>
      </c>
      <c r="Y214" s="441"/>
      <c r="Z214" s="513">
        <f>26992000/1000000</f>
        <v>26.992000000000001</v>
      </c>
      <c r="AA214" s="365"/>
      <c r="AB214" s="441"/>
      <c r="AC214" s="441">
        <f t="shared" si="166"/>
        <v>26.992000000000001</v>
      </c>
      <c r="AD214" s="441"/>
      <c r="AE214" s="513">
        <f>26992000/1000000</f>
        <v>26.992000000000001</v>
      </c>
      <c r="AF214" s="365"/>
      <c r="AG214" s="441"/>
      <c r="AH214" s="20"/>
    </row>
    <row r="215" spans="1:34" s="21" customFormat="1" ht="82.5" customHeight="1">
      <c r="A215" s="224">
        <v>24</v>
      </c>
      <c r="B215" s="225" t="s">
        <v>721</v>
      </c>
      <c r="C215" s="176" t="s">
        <v>61</v>
      </c>
      <c r="D215" s="227" t="s">
        <v>93</v>
      </c>
      <c r="E215" s="14" t="s">
        <v>42</v>
      </c>
      <c r="F215" s="228">
        <v>7925979</v>
      </c>
      <c r="G215" s="229">
        <v>292</v>
      </c>
      <c r="H215" s="111"/>
      <c r="I215" s="496"/>
      <c r="J215" s="512"/>
      <c r="K215" s="371"/>
      <c r="L215" s="371"/>
      <c r="M215" s="146"/>
      <c r="N215" s="441">
        <f t="shared" si="164"/>
        <v>9</v>
      </c>
      <c r="O215" s="441"/>
      <c r="P215" s="513">
        <v>9</v>
      </c>
      <c r="Q215" s="365"/>
      <c r="R215" s="441"/>
      <c r="S215" s="441">
        <f t="shared" si="160"/>
        <v>9.3810000000000002</v>
      </c>
      <c r="T215" s="441"/>
      <c r="U215" s="513">
        <f>9381000/1000000</f>
        <v>9.3810000000000002</v>
      </c>
      <c r="V215" s="441"/>
      <c r="W215" s="146"/>
      <c r="X215" s="441">
        <f t="shared" si="165"/>
        <v>9</v>
      </c>
      <c r="Y215" s="441"/>
      <c r="Z215" s="513">
        <v>9</v>
      </c>
      <c r="AA215" s="365"/>
      <c r="AB215" s="441"/>
      <c r="AC215" s="441">
        <f t="shared" si="166"/>
        <v>9</v>
      </c>
      <c r="AD215" s="441"/>
      <c r="AE215" s="513">
        <v>9</v>
      </c>
      <c r="AF215" s="365"/>
      <c r="AG215" s="441"/>
      <c r="AH215" s="20"/>
    </row>
    <row r="216" spans="1:34" s="21" customFormat="1" ht="82.5" customHeight="1">
      <c r="A216" s="224">
        <v>25</v>
      </c>
      <c r="B216" s="225" t="s">
        <v>555</v>
      </c>
      <c r="C216" s="176" t="s">
        <v>61</v>
      </c>
      <c r="D216" s="227" t="s">
        <v>93</v>
      </c>
      <c r="E216" s="14" t="s">
        <v>42</v>
      </c>
      <c r="F216" s="228">
        <v>7925985</v>
      </c>
      <c r="G216" s="229">
        <v>292</v>
      </c>
      <c r="H216" s="111"/>
      <c r="I216" s="496"/>
      <c r="J216" s="512"/>
      <c r="K216" s="371"/>
      <c r="L216" s="371"/>
      <c r="M216" s="146"/>
      <c r="N216" s="441">
        <f t="shared" si="164"/>
        <v>2.3559999999999999</v>
      </c>
      <c r="O216" s="441"/>
      <c r="P216" s="441">
        <f>2356000/1000000</f>
        <v>2.3559999999999999</v>
      </c>
      <c r="Q216" s="365"/>
      <c r="R216" s="441"/>
      <c r="S216" s="441">
        <f t="shared" si="160"/>
        <v>2.3559999999999999</v>
      </c>
      <c r="T216" s="441"/>
      <c r="U216" s="513">
        <f>2356000/1000000</f>
        <v>2.3559999999999999</v>
      </c>
      <c r="V216" s="441"/>
      <c r="W216" s="146"/>
      <c r="X216" s="441">
        <f t="shared" si="165"/>
        <v>2.3559999999999999</v>
      </c>
      <c r="Y216" s="441"/>
      <c r="Z216" s="441">
        <f>2356000/1000000</f>
        <v>2.3559999999999999</v>
      </c>
      <c r="AA216" s="365"/>
      <c r="AB216" s="441"/>
      <c r="AC216" s="441">
        <f t="shared" si="166"/>
        <v>2.3559999999999999</v>
      </c>
      <c r="AD216" s="441"/>
      <c r="AE216" s="441">
        <f>2356000/1000000</f>
        <v>2.3559999999999999</v>
      </c>
      <c r="AF216" s="365"/>
      <c r="AG216" s="441"/>
      <c r="AH216" s="20"/>
    </row>
    <row r="217" spans="1:34" s="21" customFormat="1" ht="82.5" customHeight="1">
      <c r="A217" s="224">
        <v>26</v>
      </c>
      <c r="B217" s="225" t="s">
        <v>722</v>
      </c>
      <c r="C217" s="176" t="s">
        <v>61</v>
      </c>
      <c r="D217" s="227" t="s">
        <v>93</v>
      </c>
      <c r="E217" s="14" t="s">
        <v>42</v>
      </c>
      <c r="F217" s="228">
        <v>7925981</v>
      </c>
      <c r="G217" s="229">
        <v>292</v>
      </c>
      <c r="H217" s="111"/>
      <c r="I217" s="496"/>
      <c r="J217" s="512"/>
      <c r="K217" s="371"/>
      <c r="L217" s="371"/>
      <c r="M217" s="146"/>
      <c r="N217" s="441">
        <f t="shared" si="164"/>
        <v>11.532999999999999</v>
      </c>
      <c r="O217" s="441"/>
      <c r="P217" s="441">
        <f>11533000/1000000</f>
        <v>11.532999999999999</v>
      </c>
      <c r="Q217" s="365"/>
      <c r="R217" s="441"/>
      <c r="S217" s="441">
        <f t="shared" si="160"/>
        <v>11.532999999999999</v>
      </c>
      <c r="T217" s="441"/>
      <c r="U217" s="513">
        <f>11533000/1000000</f>
        <v>11.532999999999999</v>
      </c>
      <c r="V217" s="441"/>
      <c r="W217" s="146"/>
      <c r="X217" s="441">
        <f t="shared" si="165"/>
        <v>11.532999999999999</v>
      </c>
      <c r="Y217" s="441"/>
      <c r="Z217" s="441">
        <f>11533000/1000000</f>
        <v>11.532999999999999</v>
      </c>
      <c r="AA217" s="365"/>
      <c r="AB217" s="441"/>
      <c r="AC217" s="441">
        <f t="shared" si="166"/>
        <v>11.532999999999999</v>
      </c>
      <c r="AD217" s="441"/>
      <c r="AE217" s="441">
        <f>11533000/1000000</f>
        <v>11.532999999999999</v>
      </c>
      <c r="AF217" s="365"/>
      <c r="AG217" s="441"/>
      <c r="AH217" s="20"/>
    </row>
    <row r="218" spans="1:34" s="21" customFormat="1" ht="82.5" customHeight="1">
      <c r="A218" s="224">
        <v>27</v>
      </c>
      <c r="B218" s="225" t="s">
        <v>723</v>
      </c>
      <c r="C218" s="176" t="s">
        <v>61</v>
      </c>
      <c r="D218" s="227" t="s">
        <v>93</v>
      </c>
      <c r="E218" s="14" t="s">
        <v>42</v>
      </c>
      <c r="F218" s="228">
        <v>7925982</v>
      </c>
      <c r="G218" s="229">
        <v>292</v>
      </c>
      <c r="H218" s="111"/>
      <c r="I218" s="496"/>
      <c r="J218" s="512"/>
      <c r="K218" s="371"/>
      <c r="L218" s="371"/>
      <c r="M218" s="146"/>
      <c r="N218" s="441">
        <f t="shared" si="164"/>
        <v>23.286000000000001</v>
      </c>
      <c r="O218" s="441"/>
      <c r="P218" s="441">
        <f>23286000/1000000</f>
        <v>23.286000000000001</v>
      </c>
      <c r="Q218" s="365"/>
      <c r="R218" s="441"/>
      <c r="S218" s="441">
        <f t="shared" si="160"/>
        <v>23.286000000000001</v>
      </c>
      <c r="T218" s="441"/>
      <c r="U218" s="513">
        <f>23286000/1000000</f>
        <v>23.286000000000001</v>
      </c>
      <c r="V218" s="441"/>
      <c r="W218" s="146"/>
      <c r="X218" s="441">
        <f t="shared" si="165"/>
        <v>23.286000000000001</v>
      </c>
      <c r="Y218" s="441"/>
      <c r="Z218" s="441">
        <f>23286000/1000000</f>
        <v>23.286000000000001</v>
      </c>
      <c r="AA218" s="365"/>
      <c r="AB218" s="441"/>
      <c r="AC218" s="441">
        <f t="shared" si="166"/>
        <v>23.286000000000001</v>
      </c>
      <c r="AD218" s="441"/>
      <c r="AE218" s="441">
        <f>23286000/1000000</f>
        <v>23.286000000000001</v>
      </c>
      <c r="AF218" s="365"/>
      <c r="AG218" s="441"/>
      <c r="AH218" s="20"/>
    </row>
    <row r="219" spans="1:34" s="21" customFormat="1" ht="82.5" customHeight="1">
      <c r="A219" s="224">
        <v>28</v>
      </c>
      <c r="B219" s="225" t="s">
        <v>557</v>
      </c>
      <c r="C219" s="176" t="s">
        <v>61</v>
      </c>
      <c r="D219" s="227" t="s">
        <v>603</v>
      </c>
      <c r="E219" s="14" t="s">
        <v>42</v>
      </c>
      <c r="F219" s="228">
        <v>7869300</v>
      </c>
      <c r="G219" s="229">
        <v>292</v>
      </c>
      <c r="H219" s="111"/>
      <c r="I219" s="496"/>
      <c r="J219" s="512"/>
      <c r="K219" s="371"/>
      <c r="L219" s="371"/>
      <c r="M219" s="146"/>
      <c r="N219" s="441">
        <f t="shared" si="164"/>
        <v>45.313000000000002</v>
      </c>
      <c r="O219" s="441"/>
      <c r="P219" s="441">
        <f>45313000/1000000</f>
        <v>45.313000000000002</v>
      </c>
      <c r="Q219" s="365"/>
      <c r="R219" s="441"/>
      <c r="S219" s="441">
        <f t="shared" si="160"/>
        <v>45.313000000000002</v>
      </c>
      <c r="T219" s="441"/>
      <c r="U219" s="513">
        <f>45313000/1000000</f>
        <v>45.313000000000002</v>
      </c>
      <c r="V219" s="441"/>
      <c r="W219" s="146"/>
      <c r="X219" s="441">
        <f t="shared" si="165"/>
        <v>45.313000000000002</v>
      </c>
      <c r="Y219" s="441"/>
      <c r="Z219" s="441">
        <f>45313000/1000000</f>
        <v>45.313000000000002</v>
      </c>
      <c r="AA219" s="365"/>
      <c r="AB219" s="441"/>
      <c r="AC219" s="441">
        <f t="shared" si="166"/>
        <v>45.313000000000002</v>
      </c>
      <c r="AD219" s="441"/>
      <c r="AE219" s="441">
        <f>45313000/1000000</f>
        <v>45.313000000000002</v>
      </c>
      <c r="AF219" s="365"/>
      <c r="AG219" s="441"/>
      <c r="AH219" s="20"/>
    </row>
    <row r="220" spans="1:34" s="21" customFormat="1" ht="82.5" customHeight="1">
      <c r="A220" s="224">
        <v>29</v>
      </c>
      <c r="B220" s="225" t="s">
        <v>724</v>
      </c>
      <c r="C220" s="176" t="s">
        <v>61</v>
      </c>
      <c r="D220" s="227" t="s">
        <v>93</v>
      </c>
      <c r="E220" s="14" t="s">
        <v>42</v>
      </c>
      <c r="F220" s="228">
        <v>7925983</v>
      </c>
      <c r="G220" s="229">
        <v>292</v>
      </c>
      <c r="H220" s="111"/>
      <c r="I220" s="496"/>
      <c r="J220" s="512"/>
      <c r="K220" s="371"/>
      <c r="L220" s="371"/>
      <c r="M220" s="146"/>
      <c r="N220" s="441">
        <f t="shared" si="164"/>
        <v>2.5209999999999999</v>
      </c>
      <c r="O220" s="441"/>
      <c r="P220" s="441">
        <f>2521000/1000000</f>
        <v>2.5209999999999999</v>
      </c>
      <c r="Q220" s="365"/>
      <c r="R220" s="441"/>
      <c r="S220" s="441">
        <f t="shared" si="160"/>
        <v>2.5209999999999999</v>
      </c>
      <c r="T220" s="441"/>
      <c r="U220" s="513">
        <f>2521000/1000000</f>
        <v>2.5209999999999999</v>
      </c>
      <c r="V220" s="441"/>
      <c r="W220" s="146"/>
      <c r="X220" s="441">
        <f t="shared" si="165"/>
        <v>2.5209999999999999</v>
      </c>
      <c r="Y220" s="441"/>
      <c r="Z220" s="441">
        <f>2521000/1000000</f>
        <v>2.5209999999999999</v>
      </c>
      <c r="AA220" s="365"/>
      <c r="AB220" s="441"/>
      <c r="AC220" s="441">
        <f t="shared" si="166"/>
        <v>2.5209999999999999</v>
      </c>
      <c r="AD220" s="441"/>
      <c r="AE220" s="441">
        <f>2521000/1000000</f>
        <v>2.5209999999999999</v>
      </c>
      <c r="AF220" s="365"/>
      <c r="AG220" s="441"/>
      <c r="AH220" s="20"/>
    </row>
    <row r="221" spans="1:34" s="21" customFormat="1" ht="82.5" customHeight="1">
      <c r="A221" s="224">
        <v>30</v>
      </c>
      <c r="B221" s="225" t="s">
        <v>558</v>
      </c>
      <c r="C221" s="176" t="s">
        <v>61</v>
      </c>
      <c r="D221" s="227" t="s">
        <v>93</v>
      </c>
      <c r="E221" s="14" t="s">
        <v>42</v>
      </c>
      <c r="F221" s="228">
        <v>7925987</v>
      </c>
      <c r="G221" s="229">
        <v>292</v>
      </c>
      <c r="H221" s="111"/>
      <c r="I221" s="496"/>
      <c r="J221" s="512"/>
      <c r="K221" s="371"/>
      <c r="L221" s="371"/>
      <c r="M221" s="146"/>
      <c r="N221" s="441">
        <f t="shared" si="164"/>
        <v>4.1779999999999999</v>
      </c>
      <c r="O221" s="441"/>
      <c r="P221" s="441">
        <f>4178000/1000000</f>
        <v>4.1779999999999999</v>
      </c>
      <c r="Q221" s="365"/>
      <c r="R221" s="441"/>
      <c r="S221" s="441">
        <f t="shared" si="160"/>
        <v>4.1779999999999999</v>
      </c>
      <c r="T221" s="441"/>
      <c r="U221" s="513">
        <f>4178000/1000000</f>
        <v>4.1779999999999999</v>
      </c>
      <c r="V221" s="441"/>
      <c r="W221" s="146"/>
      <c r="X221" s="441">
        <f t="shared" si="165"/>
        <v>4.1779999999999999</v>
      </c>
      <c r="Y221" s="441"/>
      <c r="Z221" s="441">
        <f>4178000/1000000</f>
        <v>4.1779999999999999</v>
      </c>
      <c r="AA221" s="365"/>
      <c r="AB221" s="441"/>
      <c r="AC221" s="441">
        <f t="shared" si="166"/>
        <v>4.1779999999999999</v>
      </c>
      <c r="AD221" s="441"/>
      <c r="AE221" s="441">
        <f>4178000/1000000</f>
        <v>4.1779999999999999</v>
      </c>
      <c r="AF221" s="365"/>
      <c r="AG221" s="441"/>
      <c r="AH221" s="20"/>
    </row>
    <row r="222" spans="1:34" s="21" customFormat="1" ht="82.5" customHeight="1">
      <c r="A222" s="224">
        <v>31</v>
      </c>
      <c r="B222" s="225" t="s">
        <v>559</v>
      </c>
      <c r="C222" s="176" t="s">
        <v>61</v>
      </c>
      <c r="D222" s="227" t="s">
        <v>93</v>
      </c>
      <c r="E222" s="14" t="s">
        <v>42</v>
      </c>
      <c r="F222" s="228">
        <v>7925986</v>
      </c>
      <c r="G222" s="229">
        <v>292</v>
      </c>
      <c r="H222" s="111"/>
      <c r="I222" s="496"/>
      <c r="J222" s="512"/>
      <c r="K222" s="371"/>
      <c r="L222" s="371"/>
      <c r="M222" s="146"/>
      <c r="N222" s="441">
        <f t="shared" si="164"/>
        <v>3.7290000000000001</v>
      </c>
      <c r="O222" s="441"/>
      <c r="P222" s="441">
        <f>3729000/1000000</f>
        <v>3.7290000000000001</v>
      </c>
      <c r="Q222" s="365"/>
      <c r="R222" s="441"/>
      <c r="S222" s="441">
        <f t="shared" si="160"/>
        <v>3.7290000000000001</v>
      </c>
      <c r="T222" s="441"/>
      <c r="U222" s="513">
        <f>3729000/1000000</f>
        <v>3.7290000000000001</v>
      </c>
      <c r="V222" s="441"/>
      <c r="W222" s="146"/>
      <c r="X222" s="441">
        <f t="shared" si="165"/>
        <v>3.7290000000000001</v>
      </c>
      <c r="Y222" s="441"/>
      <c r="Z222" s="441">
        <f>3729000/1000000</f>
        <v>3.7290000000000001</v>
      </c>
      <c r="AA222" s="365"/>
      <c r="AB222" s="441"/>
      <c r="AC222" s="441">
        <f t="shared" si="166"/>
        <v>3.7290000000000001</v>
      </c>
      <c r="AD222" s="441"/>
      <c r="AE222" s="441">
        <f>3729000/1000000</f>
        <v>3.7290000000000001</v>
      </c>
      <c r="AF222" s="365"/>
      <c r="AG222" s="441"/>
      <c r="AH222" s="20"/>
    </row>
    <row r="223" spans="1:34" s="21" customFormat="1" ht="82.5" customHeight="1">
      <c r="A223" s="224">
        <v>32</v>
      </c>
      <c r="B223" s="225" t="s">
        <v>560</v>
      </c>
      <c r="C223" s="176" t="s">
        <v>61</v>
      </c>
      <c r="D223" s="227" t="s">
        <v>443</v>
      </c>
      <c r="E223" s="14" t="s">
        <v>42</v>
      </c>
      <c r="F223" s="228">
        <v>7917528</v>
      </c>
      <c r="G223" s="229">
        <v>292</v>
      </c>
      <c r="H223" s="111"/>
      <c r="I223" s="496"/>
      <c r="J223" s="512"/>
      <c r="K223" s="371"/>
      <c r="L223" s="371"/>
      <c r="M223" s="146"/>
      <c r="N223" s="441">
        <f t="shared" si="164"/>
        <v>421.60199999999998</v>
      </c>
      <c r="O223" s="441"/>
      <c r="P223" s="441">
        <f>421602000/1000000</f>
        <v>421.60199999999998</v>
      </c>
      <c r="Q223" s="365"/>
      <c r="R223" s="441"/>
      <c r="S223" s="441">
        <f t="shared" si="160"/>
        <v>421.60199999999998</v>
      </c>
      <c r="T223" s="441"/>
      <c r="U223" s="513">
        <f>421602000/1000000</f>
        <v>421.60199999999998</v>
      </c>
      <c r="V223" s="441"/>
      <c r="W223" s="146"/>
      <c r="X223" s="441">
        <f t="shared" si="165"/>
        <v>421.60199999999998</v>
      </c>
      <c r="Y223" s="441"/>
      <c r="Z223" s="441">
        <f>421602000/1000000</f>
        <v>421.60199999999998</v>
      </c>
      <c r="AA223" s="365"/>
      <c r="AB223" s="441"/>
      <c r="AC223" s="441">
        <f t="shared" si="166"/>
        <v>421.60199999999998</v>
      </c>
      <c r="AD223" s="441"/>
      <c r="AE223" s="441">
        <f>421602000/1000000</f>
        <v>421.60199999999998</v>
      </c>
      <c r="AF223" s="365"/>
      <c r="AG223" s="441"/>
      <c r="AH223" s="20"/>
    </row>
    <row r="224" spans="1:34" s="21" customFormat="1" ht="82.5" customHeight="1">
      <c r="A224" s="224">
        <v>33</v>
      </c>
      <c r="B224" s="225" t="s">
        <v>561</v>
      </c>
      <c r="C224" s="176" t="s">
        <v>61</v>
      </c>
      <c r="D224" s="227" t="s">
        <v>93</v>
      </c>
      <c r="E224" s="14" t="s">
        <v>42</v>
      </c>
      <c r="F224" s="228">
        <v>7925993</v>
      </c>
      <c r="G224" s="229">
        <v>292</v>
      </c>
      <c r="H224" s="111"/>
      <c r="I224" s="496"/>
      <c r="J224" s="512"/>
      <c r="K224" s="371"/>
      <c r="L224" s="371"/>
      <c r="M224" s="146"/>
      <c r="N224" s="441">
        <f t="shared" si="164"/>
        <v>27.800999999999998</v>
      </c>
      <c r="O224" s="441"/>
      <c r="P224" s="441">
        <f>27801000/1000000</f>
        <v>27.800999999999998</v>
      </c>
      <c r="Q224" s="365"/>
      <c r="R224" s="441"/>
      <c r="S224" s="441">
        <f t="shared" ref="S224:S247" si="167">SUM(T224:W224)</f>
        <v>27.800999999999998</v>
      </c>
      <c r="T224" s="441"/>
      <c r="U224" s="513">
        <f>27801000/1000000</f>
        <v>27.800999999999998</v>
      </c>
      <c r="V224" s="441"/>
      <c r="W224" s="146"/>
      <c r="X224" s="441">
        <f t="shared" si="165"/>
        <v>27.800999999999998</v>
      </c>
      <c r="Y224" s="441"/>
      <c r="Z224" s="441">
        <f>27801000/1000000</f>
        <v>27.800999999999998</v>
      </c>
      <c r="AA224" s="365"/>
      <c r="AB224" s="441"/>
      <c r="AC224" s="441">
        <f t="shared" si="166"/>
        <v>27.800999999999998</v>
      </c>
      <c r="AD224" s="441"/>
      <c r="AE224" s="441">
        <f>27801000/1000000</f>
        <v>27.800999999999998</v>
      </c>
      <c r="AF224" s="365"/>
      <c r="AG224" s="441"/>
      <c r="AH224" s="20"/>
    </row>
    <row r="225" spans="1:34" s="21" customFormat="1" ht="82.5" customHeight="1">
      <c r="A225" s="224">
        <v>34</v>
      </c>
      <c r="B225" s="225" t="s">
        <v>562</v>
      </c>
      <c r="C225" s="176" t="s">
        <v>61</v>
      </c>
      <c r="D225" s="227" t="s">
        <v>93</v>
      </c>
      <c r="E225" s="14" t="s">
        <v>42</v>
      </c>
      <c r="F225" s="228">
        <v>7925991</v>
      </c>
      <c r="G225" s="229">
        <v>292</v>
      </c>
      <c r="H225" s="111"/>
      <c r="I225" s="496"/>
      <c r="J225" s="512"/>
      <c r="K225" s="371"/>
      <c r="L225" s="371"/>
      <c r="M225" s="146"/>
      <c r="N225" s="441">
        <f t="shared" si="164"/>
        <v>4.2709999999999999</v>
      </c>
      <c r="O225" s="441"/>
      <c r="P225" s="441">
        <f>4271000/1000000</f>
        <v>4.2709999999999999</v>
      </c>
      <c r="Q225" s="365"/>
      <c r="R225" s="441"/>
      <c r="S225" s="441">
        <f t="shared" si="167"/>
        <v>4.2709999999999999</v>
      </c>
      <c r="T225" s="441"/>
      <c r="U225" s="441">
        <f>4271000/1000000</f>
        <v>4.2709999999999999</v>
      </c>
      <c r="V225" s="441"/>
      <c r="W225" s="146"/>
      <c r="X225" s="441">
        <f t="shared" si="165"/>
        <v>4.2709999999999999</v>
      </c>
      <c r="Y225" s="441"/>
      <c r="Z225" s="441">
        <f>4271000/1000000</f>
        <v>4.2709999999999999</v>
      </c>
      <c r="AA225" s="365"/>
      <c r="AB225" s="441"/>
      <c r="AC225" s="441">
        <f t="shared" si="166"/>
        <v>4.2709999999999999</v>
      </c>
      <c r="AD225" s="441"/>
      <c r="AE225" s="441">
        <f>4271000/1000000</f>
        <v>4.2709999999999999</v>
      </c>
      <c r="AF225" s="365"/>
      <c r="AG225" s="441"/>
      <c r="AH225" s="20"/>
    </row>
    <row r="226" spans="1:34" s="21" customFormat="1" ht="82.5" customHeight="1">
      <c r="A226" s="224">
        <v>35</v>
      </c>
      <c r="B226" s="225" t="s">
        <v>725</v>
      </c>
      <c r="C226" s="176" t="s">
        <v>61</v>
      </c>
      <c r="D226" s="227" t="s">
        <v>93</v>
      </c>
      <c r="E226" s="14" t="s">
        <v>42</v>
      </c>
      <c r="F226" s="228">
        <v>7925997</v>
      </c>
      <c r="G226" s="229">
        <v>292</v>
      </c>
      <c r="H226" s="111"/>
      <c r="I226" s="496"/>
      <c r="J226" s="512"/>
      <c r="K226" s="371"/>
      <c r="L226" s="371"/>
      <c r="M226" s="146"/>
      <c r="N226" s="441">
        <f t="shared" si="164"/>
        <v>15.127000000000001</v>
      </c>
      <c r="O226" s="441"/>
      <c r="P226" s="441">
        <f>15127000/1000000</f>
        <v>15.127000000000001</v>
      </c>
      <c r="Q226" s="365"/>
      <c r="R226" s="441"/>
      <c r="S226" s="441">
        <f t="shared" si="167"/>
        <v>15.127000000000001</v>
      </c>
      <c r="T226" s="441"/>
      <c r="U226" s="513">
        <f>15127000/1000000</f>
        <v>15.127000000000001</v>
      </c>
      <c r="V226" s="441"/>
      <c r="W226" s="146"/>
      <c r="X226" s="441">
        <f t="shared" si="165"/>
        <v>15.127000000000001</v>
      </c>
      <c r="Y226" s="441"/>
      <c r="Z226" s="441">
        <f>15127000/1000000</f>
        <v>15.127000000000001</v>
      </c>
      <c r="AA226" s="365"/>
      <c r="AB226" s="441"/>
      <c r="AC226" s="441">
        <f t="shared" si="166"/>
        <v>15.127000000000001</v>
      </c>
      <c r="AD226" s="441"/>
      <c r="AE226" s="441">
        <f>15127000/1000000</f>
        <v>15.127000000000001</v>
      </c>
      <c r="AF226" s="365"/>
      <c r="AG226" s="441"/>
      <c r="AH226" s="20"/>
    </row>
    <row r="227" spans="1:34" s="21" customFormat="1" ht="82.5" customHeight="1">
      <c r="A227" s="224">
        <v>36</v>
      </c>
      <c r="B227" s="225" t="s">
        <v>726</v>
      </c>
      <c r="C227" s="176" t="s">
        <v>61</v>
      </c>
      <c r="D227" s="227" t="s">
        <v>93</v>
      </c>
      <c r="E227" s="14" t="s">
        <v>42</v>
      </c>
      <c r="F227" s="228">
        <v>7925994</v>
      </c>
      <c r="G227" s="229">
        <v>292</v>
      </c>
      <c r="H227" s="111"/>
      <c r="I227" s="496"/>
      <c r="J227" s="512"/>
      <c r="K227" s="371"/>
      <c r="L227" s="371"/>
      <c r="M227" s="146"/>
      <c r="N227" s="441">
        <f t="shared" si="164"/>
        <v>22.73</v>
      </c>
      <c r="O227" s="441"/>
      <c r="P227" s="441">
        <f>22730000/1000000</f>
        <v>22.73</v>
      </c>
      <c r="Q227" s="365"/>
      <c r="R227" s="441"/>
      <c r="S227" s="441">
        <f t="shared" si="167"/>
        <v>22.73</v>
      </c>
      <c r="T227" s="441"/>
      <c r="U227" s="513">
        <f>22730000/1000000</f>
        <v>22.73</v>
      </c>
      <c r="V227" s="441"/>
      <c r="W227" s="146"/>
      <c r="X227" s="441">
        <f t="shared" si="165"/>
        <v>22.73</v>
      </c>
      <c r="Y227" s="441"/>
      <c r="Z227" s="441">
        <f>22730000/1000000</f>
        <v>22.73</v>
      </c>
      <c r="AA227" s="365"/>
      <c r="AB227" s="441"/>
      <c r="AC227" s="441">
        <f t="shared" si="166"/>
        <v>22.73</v>
      </c>
      <c r="AD227" s="441"/>
      <c r="AE227" s="441">
        <f>22730000/1000000</f>
        <v>22.73</v>
      </c>
      <c r="AF227" s="365"/>
      <c r="AG227" s="441"/>
      <c r="AH227" s="20"/>
    </row>
    <row r="228" spans="1:34" s="21" customFormat="1" ht="82.5" customHeight="1">
      <c r="A228" s="224">
        <v>37</v>
      </c>
      <c r="B228" s="225" t="s">
        <v>563</v>
      </c>
      <c r="C228" s="176" t="s">
        <v>61</v>
      </c>
      <c r="D228" s="227" t="s">
        <v>93</v>
      </c>
      <c r="E228" s="14" t="s">
        <v>42</v>
      </c>
      <c r="F228" s="228">
        <v>7925984</v>
      </c>
      <c r="G228" s="229">
        <v>292</v>
      </c>
      <c r="H228" s="111"/>
      <c r="I228" s="496"/>
      <c r="J228" s="512"/>
      <c r="K228" s="371"/>
      <c r="L228" s="371"/>
      <c r="M228" s="146"/>
      <c r="N228" s="441">
        <f t="shared" si="164"/>
        <v>9</v>
      </c>
      <c r="O228" s="441"/>
      <c r="P228" s="441">
        <v>9</v>
      </c>
      <c r="Q228" s="365"/>
      <c r="R228" s="441"/>
      <c r="S228" s="441">
        <f t="shared" si="167"/>
        <v>8.423</v>
      </c>
      <c r="T228" s="441"/>
      <c r="U228" s="513">
        <f>8423000/1000000</f>
        <v>8.423</v>
      </c>
      <c r="V228" s="441"/>
      <c r="W228" s="146"/>
      <c r="X228" s="441">
        <f t="shared" si="165"/>
        <v>9</v>
      </c>
      <c r="Y228" s="441"/>
      <c r="Z228" s="441">
        <v>9</v>
      </c>
      <c r="AA228" s="365"/>
      <c r="AB228" s="441"/>
      <c r="AC228" s="441">
        <f t="shared" si="166"/>
        <v>9</v>
      </c>
      <c r="AD228" s="441"/>
      <c r="AE228" s="441">
        <v>9</v>
      </c>
      <c r="AF228" s="365"/>
      <c r="AG228" s="441"/>
      <c r="AH228" s="20"/>
    </row>
    <row r="229" spans="1:34" s="21" customFormat="1" ht="82.5" customHeight="1">
      <c r="A229" s="224">
        <v>38</v>
      </c>
      <c r="B229" s="225" t="s">
        <v>564</v>
      </c>
      <c r="C229" s="176" t="s">
        <v>61</v>
      </c>
      <c r="D229" s="227" t="s">
        <v>93</v>
      </c>
      <c r="E229" s="14" t="s">
        <v>42</v>
      </c>
      <c r="F229" s="228">
        <v>7932592</v>
      </c>
      <c r="G229" s="229">
        <v>292</v>
      </c>
      <c r="H229" s="111"/>
      <c r="I229" s="496"/>
      <c r="J229" s="512"/>
      <c r="K229" s="371"/>
      <c r="L229" s="371"/>
      <c r="M229" s="146"/>
      <c r="N229" s="441">
        <f t="shared" si="164"/>
        <v>21.899000000000001</v>
      </c>
      <c r="O229" s="441"/>
      <c r="P229" s="441">
        <f>21899000/1000000</f>
        <v>21.899000000000001</v>
      </c>
      <c r="Q229" s="365"/>
      <c r="R229" s="441"/>
      <c r="S229" s="441">
        <f t="shared" si="167"/>
        <v>21.899000000000001</v>
      </c>
      <c r="T229" s="441"/>
      <c r="U229" s="513">
        <f>21899000/1000000</f>
        <v>21.899000000000001</v>
      </c>
      <c r="V229" s="441"/>
      <c r="W229" s="146"/>
      <c r="X229" s="441">
        <f t="shared" si="165"/>
        <v>21.899000000000001</v>
      </c>
      <c r="Y229" s="441"/>
      <c r="Z229" s="441">
        <f>21899000/1000000</f>
        <v>21.899000000000001</v>
      </c>
      <c r="AA229" s="365"/>
      <c r="AB229" s="441"/>
      <c r="AC229" s="441">
        <f t="shared" si="166"/>
        <v>21.899000000000001</v>
      </c>
      <c r="AD229" s="441"/>
      <c r="AE229" s="441">
        <f>21899000/1000000</f>
        <v>21.899000000000001</v>
      </c>
      <c r="AF229" s="365"/>
      <c r="AG229" s="441"/>
      <c r="AH229" s="20"/>
    </row>
    <row r="230" spans="1:34" s="21" customFormat="1" ht="82.5" customHeight="1">
      <c r="A230" s="224">
        <v>39</v>
      </c>
      <c r="B230" s="225" t="s">
        <v>727</v>
      </c>
      <c r="C230" s="176" t="s">
        <v>61</v>
      </c>
      <c r="D230" s="227" t="s">
        <v>603</v>
      </c>
      <c r="E230" s="14" t="s">
        <v>42</v>
      </c>
      <c r="F230" s="228">
        <v>7926156</v>
      </c>
      <c r="G230" s="229">
        <v>292</v>
      </c>
      <c r="H230" s="111"/>
      <c r="I230" s="496"/>
      <c r="J230" s="512"/>
      <c r="K230" s="371"/>
      <c r="L230" s="371"/>
      <c r="M230" s="146"/>
      <c r="N230" s="441">
        <f t="shared" si="164"/>
        <v>6.0540000000000003</v>
      </c>
      <c r="O230" s="441"/>
      <c r="P230" s="441">
        <f>6054000/1000000</f>
        <v>6.0540000000000003</v>
      </c>
      <c r="Q230" s="365"/>
      <c r="R230" s="441"/>
      <c r="S230" s="441">
        <f t="shared" si="167"/>
        <v>6.0540000000000003</v>
      </c>
      <c r="T230" s="441"/>
      <c r="U230" s="513">
        <f>6054000/1000000</f>
        <v>6.0540000000000003</v>
      </c>
      <c r="V230" s="441"/>
      <c r="W230" s="146"/>
      <c r="X230" s="441">
        <f t="shared" si="165"/>
        <v>6.0540000000000003</v>
      </c>
      <c r="Y230" s="441"/>
      <c r="Z230" s="441">
        <f>6054000/1000000</f>
        <v>6.0540000000000003</v>
      </c>
      <c r="AA230" s="365"/>
      <c r="AB230" s="441"/>
      <c r="AC230" s="441">
        <f t="shared" si="166"/>
        <v>6.0540000000000003</v>
      </c>
      <c r="AD230" s="441"/>
      <c r="AE230" s="441">
        <f>6054000/1000000</f>
        <v>6.0540000000000003</v>
      </c>
      <c r="AF230" s="365"/>
      <c r="AG230" s="441"/>
      <c r="AH230" s="20"/>
    </row>
    <row r="231" spans="1:34" s="21" customFormat="1" ht="82.5" customHeight="1">
      <c r="A231" s="224">
        <v>40</v>
      </c>
      <c r="B231" s="225" t="s">
        <v>728</v>
      </c>
      <c r="C231" s="176" t="s">
        <v>61</v>
      </c>
      <c r="D231" s="227" t="s">
        <v>603</v>
      </c>
      <c r="E231" s="14" t="s">
        <v>42</v>
      </c>
      <c r="F231" s="228">
        <v>7925988</v>
      </c>
      <c r="G231" s="229">
        <v>292</v>
      </c>
      <c r="H231" s="111"/>
      <c r="I231" s="496"/>
      <c r="J231" s="512"/>
      <c r="K231" s="371"/>
      <c r="L231" s="371"/>
      <c r="M231" s="146"/>
      <c r="N231" s="441">
        <f t="shared" si="164"/>
        <v>43.661999999999999</v>
      </c>
      <c r="O231" s="441"/>
      <c r="P231" s="441">
        <f>43662000/1000000</f>
        <v>43.661999999999999</v>
      </c>
      <c r="Q231" s="365"/>
      <c r="R231" s="441"/>
      <c r="S231" s="441">
        <f t="shared" si="167"/>
        <v>43.661999999999999</v>
      </c>
      <c r="T231" s="441"/>
      <c r="U231" s="513">
        <f>43662000/1000000</f>
        <v>43.661999999999999</v>
      </c>
      <c r="V231" s="441"/>
      <c r="W231" s="146"/>
      <c r="X231" s="441">
        <f t="shared" si="165"/>
        <v>43.661999999999999</v>
      </c>
      <c r="Y231" s="441"/>
      <c r="Z231" s="441">
        <f>43662000/1000000</f>
        <v>43.661999999999999</v>
      </c>
      <c r="AA231" s="365"/>
      <c r="AB231" s="441"/>
      <c r="AC231" s="441">
        <f t="shared" si="166"/>
        <v>43.661999999999999</v>
      </c>
      <c r="AD231" s="441"/>
      <c r="AE231" s="441">
        <f>43662000/1000000</f>
        <v>43.661999999999999</v>
      </c>
      <c r="AF231" s="365"/>
      <c r="AG231" s="441"/>
      <c r="AH231" s="20"/>
    </row>
    <row r="232" spans="1:34" s="21" customFormat="1" ht="82.5" customHeight="1">
      <c r="A232" s="224">
        <v>41</v>
      </c>
      <c r="B232" s="225" t="s">
        <v>566</v>
      </c>
      <c r="C232" s="176" t="s">
        <v>61</v>
      </c>
      <c r="D232" s="227" t="s">
        <v>603</v>
      </c>
      <c r="E232" s="14" t="s">
        <v>42</v>
      </c>
      <c r="F232" s="228">
        <v>7921826</v>
      </c>
      <c r="G232" s="229">
        <v>292</v>
      </c>
      <c r="H232" s="111"/>
      <c r="I232" s="496"/>
      <c r="J232" s="512"/>
      <c r="K232" s="371"/>
      <c r="L232" s="371"/>
      <c r="M232" s="146"/>
      <c r="N232" s="441">
        <f t="shared" si="164"/>
        <v>8.6820000000000004</v>
      </c>
      <c r="O232" s="441"/>
      <c r="P232" s="441">
        <f>8682000/1000000</f>
        <v>8.6820000000000004</v>
      </c>
      <c r="Q232" s="365"/>
      <c r="R232" s="441"/>
      <c r="S232" s="441">
        <f t="shared" si="167"/>
        <v>8.6820000000000004</v>
      </c>
      <c r="T232" s="441"/>
      <c r="U232" s="513">
        <f>8682000/1000000</f>
        <v>8.6820000000000004</v>
      </c>
      <c r="V232" s="441"/>
      <c r="W232" s="146"/>
      <c r="X232" s="441">
        <f t="shared" si="165"/>
        <v>8.6820000000000004</v>
      </c>
      <c r="Y232" s="441"/>
      <c r="Z232" s="441">
        <f>8682000/1000000</f>
        <v>8.6820000000000004</v>
      </c>
      <c r="AA232" s="365"/>
      <c r="AB232" s="441"/>
      <c r="AC232" s="441">
        <f t="shared" si="166"/>
        <v>8.6820000000000004</v>
      </c>
      <c r="AD232" s="441"/>
      <c r="AE232" s="441">
        <f>8682000/1000000</f>
        <v>8.6820000000000004</v>
      </c>
      <c r="AF232" s="365"/>
      <c r="AG232" s="441"/>
      <c r="AH232" s="20"/>
    </row>
    <row r="233" spans="1:34" s="21" customFormat="1" ht="82.5" customHeight="1">
      <c r="A233" s="224">
        <v>42</v>
      </c>
      <c r="B233" s="225" t="s">
        <v>729</v>
      </c>
      <c r="C233" s="176" t="s">
        <v>61</v>
      </c>
      <c r="D233" s="227" t="s">
        <v>79</v>
      </c>
      <c r="E233" s="14" t="s">
        <v>42</v>
      </c>
      <c r="F233" s="228">
        <v>7992774</v>
      </c>
      <c r="G233" s="229">
        <v>292</v>
      </c>
      <c r="H233" s="111"/>
      <c r="I233" s="496"/>
      <c r="J233" s="512"/>
      <c r="K233" s="371"/>
      <c r="L233" s="371"/>
      <c r="M233" s="146"/>
      <c r="N233" s="441">
        <f t="shared" si="164"/>
        <v>41.750999999999998</v>
      </c>
      <c r="O233" s="441"/>
      <c r="P233" s="441">
        <f>41751000/1000000</f>
        <v>41.750999999999998</v>
      </c>
      <c r="Q233" s="365"/>
      <c r="R233" s="441"/>
      <c r="S233" s="441">
        <f t="shared" si="167"/>
        <v>41.750999999999998</v>
      </c>
      <c r="T233" s="441"/>
      <c r="U233" s="513">
        <f>41751000/1000000</f>
        <v>41.750999999999998</v>
      </c>
      <c r="V233" s="441"/>
      <c r="W233" s="146"/>
      <c r="X233" s="441">
        <f t="shared" si="165"/>
        <v>41.750999999999998</v>
      </c>
      <c r="Y233" s="441"/>
      <c r="Z233" s="441">
        <f>41751000/1000000</f>
        <v>41.750999999999998</v>
      </c>
      <c r="AA233" s="365"/>
      <c r="AB233" s="441"/>
      <c r="AC233" s="441">
        <f t="shared" si="166"/>
        <v>41.750999999999998</v>
      </c>
      <c r="AD233" s="441"/>
      <c r="AE233" s="441">
        <f>41751000/1000000</f>
        <v>41.750999999999998</v>
      </c>
      <c r="AF233" s="365"/>
      <c r="AG233" s="441"/>
      <c r="AH233" s="20"/>
    </row>
    <row r="234" spans="1:34" s="182" customFormat="1" ht="82.5" customHeight="1">
      <c r="A234" s="224">
        <v>43</v>
      </c>
      <c r="B234" s="225" t="s">
        <v>568</v>
      </c>
      <c r="C234" s="176" t="s">
        <v>61</v>
      </c>
      <c r="D234" s="227" t="s">
        <v>102</v>
      </c>
      <c r="E234" s="14" t="s">
        <v>42</v>
      </c>
      <c r="F234" s="228">
        <v>8011577</v>
      </c>
      <c r="G234" s="229">
        <v>292</v>
      </c>
      <c r="H234" s="111"/>
      <c r="I234" s="496"/>
      <c r="J234" s="512"/>
      <c r="K234" s="371"/>
      <c r="L234" s="371"/>
      <c r="M234" s="146"/>
      <c r="N234" s="441">
        <f t="shared" si="164"/>
        <v>318.97800000000001</v>
      </c>
      <c r="O234" s="441"/>
      <c r="P234" s="441">
        <f>318978000/1000000</f>
        <v>318.97800000000001</v>
      </c>
      <c r="Q234" s="365"/>
      <c r="R234" s="441"/>
      <c r="S234" s="441">
        <f t="shared" si="167"/>
        <v>318.97800000000001</v>
      </c>
      <c r="T234" s="441"/>
      <c r="U234" s="441">
        <f>318978000/1000000</f>
        <v>318.97800000000001</v>
      </c>
      <c r="V234" s="441"/>
      <c r="W234" s="146"/>
      <c r="X234" s="441">
        <f t="shared" si="165"/>
        <v>318.97800000000001</v>
      </c>
      <c r="Y234" s="441"/>
      <c r="Z234" s="441">
        <f>318978000/1000000</f>
        <v>318.97800000000001</v>
      </c>
      <c r="AA234" s="365"/>
      <c r="AB234" s="441"/>
      <c r="AC234" s="441">
        <f t="shared" si="166"/>
        <v>318.97800000000001</v>
      </c>
      <c r="AD234" s="441"/>
      <c r="AE234" s="441">
        <f>318978000/1000000</f>
        <v>318.97800000000001</v>
      </c>
      <c r="AF234" s="365"/>
      <c r="AG234" s="441"/>
      <c r="AH234" s="181"/>
    </row>
    <row r="235" spans="1:34" s="21" customFormat="1" ht="82.5" customHeight="1">
      <c r="A235" s="224">
        <v>44</v>
      </c>
      <c r="B235" s="225" t="s">
        <v>571</v>
      </c>
      <c r="C235" s="176" t="s">
        <v>61</v>
      </c>
      <c r="D235" s="227" t="s">
        <v>102</v>
      </c>
      <c r="E235" s="14" t="s">
        <v>42</v>
      </c>
      <c r="F235" s="228" t="s">
        <v>730</v>
      </c>
      <c r="G235" s="229">
        <v>292</v>
      </c>
      <c r="H235" s="111"/>
      <c r="I235" s="496"/>
      <c r="J235" s="512"/>
      <c r="K235" s="371"/>
      <c r="L235" s="371"/>
      <c r="M235" s="146"/>
      <c r="N235" s="441">
        <f t="shared" si="164"/>
        <v>622.76099999999997</v>
      </c>
      <c r="O235" s="441"/>
      <c r="P235" s="441">
        <f>622761000/1000000</f>
        <v>622.76099999999997</v>
      </c>
      <c r="Q235" s="365"/>
      <c r="R235" s="441"/>
      <c r="S235" s="441">
        <f t="shared" si="167"/>
        <v>622.76099999999997</v>
      </c>
      <c r="T235" s="441"/>
      <c r="U235" s="441">
        <f>622761000/1000000</f>
        <v>622.76099999999997</v>
      </c>
      <c r="V235" s="441"/>
      <c r="W235" s="146"/>
      <c r="X235" s="441">
        <f t="shared" si="165"/>
        <v>622.76099999999997</v>
      </c>
      <c r="Y235" s="441"/>
      <c r="Z235" s="441">
        <f>622761000/1000000</f>
        <v>622.76099999999997</v>
      </c>
      <c r="AA235" s="365"/>
      <c r="AB235" s="441"/>
      <c r="AC235" s="441">
        <f t="shared" si="166"/>
        <v>622.76099999999997</v>
      </c>
      <c r="AD235" s="441"/>
      <c r="AE235" s="441">
        <f>622761000/1000000</f>
        <v>622.76099999999997</v>
      </c>
      <c r="AF235" s="365"/>
      <c r="AG235" s="441"/>
      <c r="AH235" s="20"/>
    </row>
    <row r="236" spans="1:34" s="21" customFormat="1" ht="82.5" customHeight="1">
      <c r="A236" s="224">
        <v>45</v>
      </c>
      <c r="B236" s="225" t="s">
        <v>731</v>
      </c>
      <c r="C236" s="176" t="s">
        <v>61</v>
      </c>
      <c r="D236" s="227" t="s">
        <v>102</v>
      </c>
      <c r="E236" s="14" t="s">
        <v>42</v>
      </c>
      <c r="F236" s="228" t="s">
        <v>732</v>
      </c>
      <c r="G236" s="229">
        <v>292</v>
      </c>
      <c r="H236" s="111"/>
      <c r="I236" s="496"/>
      <c r="J236" s="512"/>
      <c r="K236" s="371"/>
      <c r="L236" s="371"/>
      <c r="M236" s="146"/>
      <c r="N236" s="441">
        <f t="shared" si="164"/>
        <v>127</v>
      </c>
      <c r="O236" s="441"/>
      <c r="P236" s="441">
        <v>127</v>
      </c>
      <c r="Q236" s="365"/>
      <c r="R236" s="441"/>
      <c r="S236" s="441">
        <f t="shared" si="167"/>
        <v>108.38500000000001</v>
      </c>
      <c r="T236" s="441"/>
      <c r="U236" s="513">
        <f>108385000/1000000</f>
        <v>108.38500000000001</v>
      </c>
      <c r="V236" s="441"/>
      <c r="W236" s="146"/>
      <c r="X236" s="441">
        <f t="shared" si="165"/>
        <v>127</v>
      </c>
      <c r="Y236" s="441"/>
      <c r="Z236" s="441">
        <v>127</v>
      </c>
      <c r="AA236" s="365"/>
      <c r="AB236" s="441"/>
      <c r="AC236" s="441">
        <f t="shared" si="166"/>
        <v>127</v>
      </c>
      <c r="AD236" s="441"/>
      <c r="AE236" s="441">
        <v>127</v>
      </c>
      <c r="AF236" s="365"/>
      <c r="AG236" s="441"/>
      <c r="AH236" s="20"/>
    </row>
    <row r="237" spans="1:34" s="21" customFormat="1" ht="82.5" customHeight="1">
      <c r="A237" s="224">
        <v>46</v>
      </c>
      <c r="B237" s="225" t="s">
        <v>572</v>
      </c>
      <c r="C237" s="176" t="s">
        <v>61</v>
      </c>
      <c r="D237" s="227" t="s">
        <v>102</v>
      </c>
      <c r="E237" s="14" t="s">
        <v>42</v>
      </c>
      <c r="F237" s="228" t="s">
        <v>733</v>
      </c>
      <c r="G237" s="229">
        <v>292</v>
      </c>
      <c r="H237" s="111"/>
      <c r="I237" s="496"/>
      <c r="J237" s="512"/>
      <c r="K237" s="371"/>
      <c r="L237" s="371"/>
      <c r="M237" s="146"/>
      <c r="N237" s="441">
        <f t="shared" si="164"/>
        <v>196.19399999999999</v>
      </c>
      <c r="O237" s="441"/>
      <c r="P237" s="441">
        <f>196194000/1000000</f>
        <v>196.19399999999999</v>
      </c>
      <c r="Q237" s="365"/>
      <c r="R237" s="441"/>
      <c r="S237" s="441">
        <f t="shared" si="167"/>
        <v>196.19399999999999</v>
      </c>
      <c r="T237" s="441"/>
      <c r="U237" s="513">
        <f>196194000/1000000</f>
        <v>196.19399999999999</v>
      </c>
      <c r="V237" s="441"/>
      <c r="W237" s="146"/>
      <c r="X237" s="441">
        <f t="shared" si="165"/>
        <v>196.19399999999999</v>
      </c>
      <c r="Y237" s="441"/>
      <c r="Z237" s="441">
        <f>196194000/1000000</f>
        <v>196.19399999999999</v>
      </c>
      <c r="AA237" s="365"/>
      <c r="AB237" s="441"/>
      <c r="AC237" s="441">
        <f t="shared" si="166"/>
        <v>196.19399999999999</v>
      </c>
      <c r="AD237" s="441"/>
      <c r="AE237" s="441">
        <f>196194000/1000000</f>
        <v>196.19399999999999</v>
      </c>
      <c r="AF237" s="365"/>
      <c r="AG237" s="441"/>
      <c r="AH237" s="20"/>
    </row>
    <row r="238" spans="1:34" s="21" customFormat="1" ht="82.5" customHeight="1">
      <c r="A238" s="224">
        <v>47</v>
      </c>
      <c r="B238" s="225" t="s">
        <v>573</v>
      </c>
      <c r="C238" s="176" t="s">
        <v>61</v>
      </c>
      <c r="D238" s="227" t="s">
        <v>102</v>
      </c>
      <c r="E238" s="14" t="s">
        <v>42</v>
      </c>
      <c r="F238" s="228" t="s">
        <v>734</v>
      </c>
      <c r="G238" s="229">
        <v>292</v>
      </c>
      <c r="H238" s="111"/>
      <c r="I238" s="496"/>
      <c r="J238" s="512"/>
      <c r="K238" s="371"/>
      <c r="L238" s="371"/>
      <c r="M238" s="146"/>
      <c r="N238" s="441">
        <f t="shared" si="164"/>
        <v>436</v>
      </c>
      <c r="O238" s="441"/>
      <c r="P238" s="441">
        <v>436</v>
      </c>
      <c r="Q238" s="365"/>
      <c r="R238" s="441"/>
      <c r="S238" s="441">
        <f t="shared" si="167"/>
        <v>428.04899999999998</v>
      </c>
      <c r="T238" s="441"/>
      <c r="U238" s="513">
        <f>428049000/1000000</f>
        <v>428.04899999999998</v>
      </c>
      <c r="V238" s="441"/>
      <c r="W238" s="146"/>
      <c r="X238" s="441">
        <f t="shared" si="165"/>
        <v>436</v>
      </c>
      <c r="Y238" s="441"/>
      <c r="Z238" s="441">
        <v>436</v>
      </c>
      <c r="AA238" s="365"/>
      <c r="AB238" s="441"/>
      <c r="AC238" s="441">
        <f t="shared" si="166"/>
        <v>436</v>
      </c>
      <c r="AD238" s="441"/>
      <c r="AE238" s="441">
        <v>436</v>
      </c>
      <c r="AF238" s="365"/>
      <c r="AG238" s="441"/>
      <c r="AH238" s="20"/>
    </row>
    <row r="239" spans="1:34" s="21" customFormat="1" ht="37.5">
      <c r="A239" s="224">
        <v>48</v>
      </c>
      <c r="B239" s="225" t="s">
        <v>172</v>
      </c>
      <c r="C239" s="176" t="s">
        <v>61</v>
      </c>
      <c r="D239" s="227" t="s">
        <v>99</v>
      </c>
      <c r="E239" s="14" t="s">
        <v>42</v>
      </c>
      <c r="F239" s="228">
        <v>8012051</v>
      </c>
      <c r="G239" s="229">
        <v>292</v>
      </c>
      <c r="H239" s="111"/>
      <c r="I239" s="496"/>
      <c r="J239" s="512"/>
      <c r="K239" s="371"/>
      <c r="L239" s="371"/>
      <c r="M239" s="146"/>
      <c r="N239" s="441">
        <f t="shared" si="164"/>
        <v>314</v>
      </c>
      <c r="O239" s="441"/>
      <c r="P239" s="441">
        <v>314</v>
      </c>
      <c r="Q239" s="365"/>
      <c r="R239" s="441"/>
      <c r="S239" s="441">
        <f t="shared" si="167"/>
        <v>0</v>
      </c>
      <c r="T239" s="441"/>
      <c r="U239" s="513">
        <v>0</v>
      </c>
      <c r="V239" s="441"/>
      <c r="W239" s="146"/>
      <c r="X239" s="441">
        <f t="shared" si="165"/>
        <v>314</v>
      </c>
      <c r="Y239" s="441"/>
      <c r="Z239" s="441">
        <v>314</v>
      </c>
      <c r="AA239" s="365"/>
      <c r="AB239" s="441"/>
      <c r="AC239" s="441">
        <f t="shared" si="166"/>
        <v>314</v>
      </c>
      <c r="AD239" s="441"/>
      <c r="AE239" s="441">
        <v>314</v>
      </c>
      <c r="AF239" s="365"/>
      <c r="AG239" s="441"/>
      <c r="AH239" s="20"/>
    </row>
    <row r="240" spans="1:34" s="21" customFormat="1" ht="37.5">
      <c r="A240" s="224">
        <v>49</v>
      </c>
      <c r="B240" s="225" t="s">
        <v>174</v>
      </c>
      <c r="C240" s="176" t="s">
        <v>61</v>
      </c>
      <c r="D240" s="227" t="s">
        <v>99</v>
      </c>
      <c r="E240" s="14" t="s">
        <v>42</v>
      </c>
      <c r="F240" s="228">
        <v>8012052</v>
      </c>
      <c r="G240" s="229">
        <v>292</v>
      </c>
      <c r="H240" s="111"/>
      <c r="I240" s="496"/>
      <c r="J240" s="512"/>
      <c r="K240" s="371"/>
      <c r="L240" s="371"/>
      <c r="M240" s="146"/>
      <c r="N240" s="441">
        <f t="shared" si="164"/>
        <v>64.11</v>
      </c>
      <c r="O240" s="441"/>
      <c r="P240" s="441">
        <f>64110000/1000000</f>
        <v>64.11</v>
      </c>
      <c r="Q240" s="365"/>
      <c r="R240" s="441"/>
      <c r="S240" s="441">
        <f t="shared" si="167"/>
        <v>0</v>
      </c>
      <c r="T240" s="441"/>
      <c r="U240" s="513">
        <v>0</v>
      </c>
      <c r="V240" s="441"/>
      <c r="W240" s="146"/>
      <c r="X240" s="441">
        <f t="shared" si="165"/>
        <v>64.11</v>
      </c>
      <c r="Y240" s="441"/>
      <c r="Z240" s="441">
        <f>64110000/1000000</f>
        <v>64.11</v>
      </c>
      <c r="AA240" s="365"/>
      <c r="AB240" s="441"/>
      <c r="AC240" s="441">
        <f t="shared" si="166"/>
        <v>64.11</v>
      </c>
      <c r="AD240" s="441"/>
      <c r="AE240" s="441">
        <f>64110000/1000000</f>
        <v>64.11</v>
      </c>
      <c r="AF240" s="365"/>
      <c r="AG240" s="441"/>
      <c r="AH240" s="20"/>
    </row>
    <row r="241" spans="1:34" s="21" customFormat="1" ht="37.5">
      <c r="A241" s="224">
        <v>50</v>
      </c>
      <c r="B241" s="225" t="s">
        <v>735</v>
      </c>
      <c r="C241" s="176" t="s">
        <v>61</v>
      </c>
      <c r="D241" s="227" t="s">
        <v>79</v>
      </c>
      <c r="E241" s="14" t="s">
        <v>42</v>
      </c>
      <c r="F241" s="228" t="s">
        <v>736</v>
      </c>
      <c r="G241" s="229">
        <v>292</v>
      </c>
      <c r="H241" s="111"/>
      <c r="I241" s="496"/>
      <c r="J241" s="512"/>
      <c r="K241" s="371"/>
      <c r="L241" s="371"/>
      <c r="M241" s="146"/>
      <c r="N241" s="441">
        <f t="shared" si="164"/>
        <v>19.957000000000001</v>
      </c>
      <c r="O241" s="441"/>
      <c r="P241" s="441">
        <f>19957000/1000000</f>
        <v>19.957000000000001</v>
      </c>
      <c r="Q241" s="365"/>
      <c r="R241" s="441"/>
      <c r="S241" s="441">
        <f t="shared" si="167"/>
        <v>19.957000000000001</v>
      </c>
      <c r="T241" s="441"/>
      <c r="U241" s="513">
        <v>19.957000000000001</v>
      </c>
      <c r="V241" s="441"/>
      <c r="W241" s="146"/>
      <c r="X241" s="441">
        <f t="shared" si="165"/>
        <v>19.957000000000001</v>
      </c>
      <c r="Y241" s="441"/>
      <c r="Z241" s="441">
        <f>19957000/1000000</f>
        <v>19.957000000000001</v>
      </c>
      <c r="AA241" s="365"/>
      <c r="AB241" s="441"/>
      <c r="AC241" s="441">
        <f t="shared" si="166"/>
        <v>19.957000000000001</v>
      </c>
      <c r="AD241" s="441"/>
      <c r="AE241" s="441">
        <f>19957000/1000000</f>
        <v>19.957000000000001</v>
      </c>
      <c r="AF241" s="365"/>
      <c r="AG241" s="441"/>
      <c r="AH241" s="20"/>
    </row>
    <row r="242" spans="1:34" s="21" customFormat="1" ht="37.5">
      <c r="A242" s="224">
        <v>51</v>
      </c>
      <c r="B242" s="225" t="s">
        <v>45</v>
      </c>
      <c r="C242" s="176" t="s">
        <v>61</v>
      </c>
      <c r="D242" s="227" t="s">
        <v>93</v>
      </c>
      <c r="E242" s="14" t="s">
        <v>42</v>
      </c>
      <c r="F242" s="228">
        <v>7922608</v>
      </c>
      <c r="G242" s="229">
        <v>292</v>
      </c>
      <c r="H242" s="111"/>
      <c r="I242" s="496"/>
      <c r="J242" s="512"/>
      <c r="K242" s="371"/>
      <c r="L242" s="371"/>
      <c r="M242" s="146"/>
      <c r="N242" s="441">
        <f t="shared" si="164"/>
        <v>25.733000000000001</v>
      </c>
      <c r="O242" s="441"/>
      <c r="P242" s="441">
        <f>25733000/1000000</f>
        <v>25.733000000000001</v>
      </c>
      <c r="Q242" s="365"/>
      <c r="R242" s="441"/>
      <c r="S242" s="441">
        <f t="shared" si="167"/>
        <v>25.733000000000001</v>
      </c>
      <c r="T242" s="441"/>
      <c r="U242" s="441">
        <f>25733000/1000000</f>
        <v>25.733000000000001</v>
      </c>
      <c r="V242" s="441"/>
      <c r="W242" s="146"/>
      <c r="X242" s="441">
        <f t="shared" si="165"/>
        <v>25.733000000000001</v>
      </c>
      <c r="Y242" s="441"/>
      <c r="Z242" s="441">
        <f>25733000/1000000</f>
        <v>25.733000000000001</v>
      </c>
      <c r="AA242" s="365"/>
      <c r="AB242" s="441"/>
      <c r="AC242" s="441">
        <f t="shared" si="166"/>
        <v>25.733000000000001</v>
      </c>
      <c r="AD242" s="441"/>
      <c r="AE242" s="441">
        <f>25733000/1000000</f>
        <v>25.733000000000001</v>
      </c>
      <c r="AF242" s="365"/>
      <c r="AG242" s="441"/>
      <c r="AH242" s="20"/>
    </row>
    <row r="243" spans="1:34" s="21" customFormat="1" ht="137.25" customHeight="1">
      <c r="A243" s="224">
        <v>52</v>
      </c>
      <c r="B243" s="225" t="s">
        <v>737</v>
      </c>
      <c r="C243" s="176" t="s">
        <v>61</v>
      </c>
      <c r="D243" s="227" t="s">
        <v>102</v>
      </c>
      <c r="E243" s="14" t="s">
        <v>42</v>
      </c>
      <c r="F243" s="228">
        <v>8011584</v>
      </c>
      <c r="G243" s="229">
        <v>292</v>
      </c>
      <c r="H243" s="111"/>
      <c r="I243" s="496"/>
      <c r="J243" s="512"/>
      <c r="K243" s="371"/>
      <c r="L243" s="371"/>
      <c r="M243" s="146"/>
      <c r="N243" s="441">
        <f t="shared" si="164"/>
        <v>169</v>
      </c>
      <c r="O243" s="441"/>
      <c r="P243" s="441">
        <v>169</v>
      </c>
      <c r="Q243" s="365"/>
      <c r="R243" s="441"/>
      <c r="S243" s="441">
        <f t="shared" si="167"/>
        <v>149.57400000000001</v>
      </c>
      <c r="T243" s="441"/>
      <c r="U243" s="513">
        <f>149574000/1000000</f>
        <v>149.57400000000001</v>
      </c>
      <c r="V243" s="441"/>
      <c r="W243" s="146"/>
      <c r="X243" s="441">
        <f t="shared" si="165"/>
        <v>169</v>
      </c>
      <c r="Y243" s="441"/>
      <c r="Z243" s="441">
        <v>169</v>
      </c>
      <c r="AA243" s="365"/>
      <c r="AB243" s="441"/>
      <c r="AC243" s="441">
        <f t="shared" si="166"/>
        <v>169</v>
      </c>
      <c r="AD243" s="441"/>
      <c r="AE243" s="441">
        <v>169</v>
      </c>
      <c r="AF243" s="365"/>
      <c r="AG243" s="441"/>
      <c r="AH243" s="20"/>
    </row>
    <row r="244" spans="1:34" s="21" customFormat="1" ht="37.5">
      <c r="A244" s="224">
        <v>53</v>
      </c>
      <c r="B244" s="225" t="s">
        <v>738</v>
      </c>
      <c r="C244" s="176" t="s">
        <v>61</v>
      </c>
      <c r="D244" s="227" t="s">
        <v>79</v>
      </c>
      <c r="E244" s="14" t="s">
        <v>42</v>
      </c>
      <c r="F244" s="228">
        <v>8008351</v>
      </c>
      <c r="G244" s="229">
        <v>292</v>
      </c>
      <c r="H244" s="111"/>
      <c r="I244" s="496"/>
      <c r="J244" s="512"/>
      <c r="K244" s="371"/>
      <c r="L244" s="371"/>
      <c r="M244" s="146"/>
      <c r="N244" s="441">
        <f t="shared" si="164"/>
        <v>23.623000000000001</v>
      </c>
      <c r="O244" s="441"/>
      <c r="P244" s="441">
        <f>23623000/1000000</f>
        <v>23.623000000000001</v>
      </c>
      <c r="Q244" s="365"/>
      <c r="R244" s="441"/>
      <c r="S244" s="441">
        <f t="shared" si="167"/>
        <v>23.623000000000001</v>
      </c>
      <c r="T244" s="441"/>
      <c r="U244" s="513">
        <f>23623000/1000000</f>
        <v>23.623000000000001</v>
      </c>
      <c r="V244" s="441"/>
      <c r="W244" s="146"/>
      <c r="X244" s="441">
        <f t="shared" si="165"/>
        <v>23.623000000000001</v>
      </c>
      <c r="Y244" s="441"/>
      <c r="Z244" s="441">
        <f>23623000/1000000</f>
        <v>23.623000000000001</v>
      </c>
      <c r="AA244" s="365"/>
      <c r="AB244" s="441"/>
      <c r="AC244" s="441">
        <f t="shared" si="166"/>
        <v>23.623000000000001</v>
      </c>
      <c r="AD244" s="441"/>
      <c r="AE244" s="441">
        <f>23623000/1000000</f>
        <v>23.623000000000001</v>
      </c>
      <c r="AF244" s="365"/>
      <c r="AG244" s="441"/>
      <c r="AH244" s="20"/>
    </row>
    <row r="245" spans="1:34" s="21" customFormat="1" ht="37.5">
      <c r="A245" s="224">
        <v>54</v>
      </c>
      <c r="B245" s="225" t="s">
        <v>105</v>
      </c>
      <c r="C245" s="176" t="s">
        <v>61</v>
      </c>
      <c r="D245" s="227" t="s">
        <v>79</v>
      </c>
      <c r="E245" s="14" t="s">
        <v>42</v>
      </c>
      <c r="F245" s="228">
        <v>8003059</v>
      </c>
      <c r="G245" s="229">
        <v>292</v>
      </c>
      <c r="H245" s="111"/>
      <c r="I245" s="496"/>
      <c r="J245" s="512"/>
      <c r="K245" s="371"/>
      <c r="L245" s="371"/>
      <c r="M245" s="146"/>
      <c r="N245" s="441">
        <f t="shared" si="164"/>
        <v>38.031999999999996</v>
      </c>
      <c r="O245" s="441"/>
      <c r="P245" s="441">
        <f>38032000/1000000</f>
        <v>38.031999999999996</v>
      </c>
      <c r="Q245" s="365"/>
      <c r="R245" s="441"/>
      <c r="S245" s="441">
        <f t="shared" si="167"/>
        <v>38.031999999999996</v>
      </c>
      <c r="T245" s="441"/>
      <c r="U245" s="441">
        <f>38032000/1000000</f>
        <v>38.031999999999996</v>
      </c>
      <c r="V245" s="441"/>
      <c r="W245" s="146"/>
      <c r="X245" s="441">
        <f t="shared" si="165"/>
        <v>38.031999999999996</v>
      </c>
      <c r="Y245" s="441"/>
      <c r="Z245" s="441">
        <f>38032000/1000000</f>
        <v>38.031999999999996</v>
      </c>
      <c r="AA245" s="365"/>
      <c r="AB245" s="441"/>
      <c r="AC245" s="441">
        <f t="shared" si="166"/>
        <v>38.031999999999996</v>
      </c>
      <c r="AD245" s="441"/>
      <c r="AE245" s="441">
        <f>38032000/1000000</f>
        <v>38.031999999999996</v>
      </c>
      <c r="AF245" s="365"/>
      <c r="AG245" s="441"/>
      <c r="AH245" s="20"/>
    </row>
    <row r="246" spans="1:34" s="21" customFormat="1" ht="37.5">
      <c r="A246" s="224">
        <v>55</v>
      </c>
      <c r="B246" s="225" t="s">
        <v>739</v>
      </c>
      <c r="C246" s="176" t="s">
        <v>61</v>
      </c>
      <c r="D246" s="227" t="s">
        <v>102</v>
      </c>
      <c r="E246" s="14" t="s">
        <v>42</v>
      </c>
      <c r="F246" s="228">
        <v>8011581</v>
      </c>
      <c r="G246" s="229">
        <v>292</v>
      </c>
      <c r="H246" s="111"/>
      <c r="I246" s="496"/>
      <c r="J246" s="512"/>
      <c r="K246" s="371"/>
      <c r="L246" s="371"/>
      <c r="M246" s="146"/>
      <c r="N246" s="441">
        <f t="shared" si="164"/>
        <v>37</v>
      </c>
      <c r="O246" s="441"/>
      <c r="P246" s="441">
        <v>37</v>
      </c>
      <c r="Q246" s="365"/>
      <c r="R246" s="441"/>
      <c r="S246" s="441">
        <f t="shared" si="167"/>
        <v>37</v>
      </c>
      <c r="T246" s="441"/>
      <c r="U246" s="441">
        <v>37</v>
      </c>
      <c r="V246" s="441"/>
      <c r="W246" s="146"/>
      <c r="X246" s="441">
        <f t="shared" si="165"/>
        <v>37</v>
      </c>
      <c r="Y246" s="441"/>
      <c r="Z246" s="441">
        <v>37</v>
      </c>
      <c r="AA246" s="365"/>
      <c r="AB246" s="441"/>
      <c r="AC246" s="441">
        <f t="shared" si="166"/>
        <v>37</v>
      </c>
      <c r="AD246" s="441"/>
      <c r="AE246" s="441">
        <v>37</v>
      </c>
      <c r="AF246" s="365"/>
      <c r="AG246" s="441"/>
      <c r="AH246" s="20"/>
    </row>
    <row r="247" spans="1:34" s="21" customFormat="1" ht="37.5">
      <c r="A247" s="224">
        <v>56</v>
      </c>
      <c r="B247" s="225" t="s">
        <v>740</v>
      </c>
      <c r="C247" s="176" t="s">
        <v>61</v>
      </c>
      <c r="D247" s="227" t="s">
        <v>79</v>
      </c>
      <c r="E247" s="14" t="s">
        <v>42</v>
      </c>
      <c r="F247" s="228" t="s">
        <v>741</v>
      </c>
      <c r="G247" s="229">
        <v>292</v>
      </c>
      <c r="H247" s="111"/>
      <c r="I247" s="496"/>
      <c r="J247" s="512"/>
      <c r="K247" s="371"/>
      <c r="L247" s="371"/>
      <c r="M247" s="146"/>
      <c r="N247" s="441">
        <f t="shared" si="164"/>
        <v>60.706000000000003</v>
      </c>
      <c r="O247" s="441"/>
      <c r="P247" s="441">
        <f>60706000/1000000</f>
        <v>60.706000000000003</v>
      </c>
      <c r="Q247" s="365"/>
      <c r="R247" s="441"/>
      <c r="S247" s="441">
        <f t="shared" si="167"/>
        <v>60.706000000000003</v>
      </c>
      <c r="T247" s="441"/>
      <c r="U247" s="441">
        <f>60706000/1000000</f>
        <v>60.706000000000003</v>
      </c>
      <c r="V247" s="441"/>
      <c r="W247" s="146"/>
      <c r="X247" s="441">
        <f t="shared" si="165"/>
        <v>60.706000000000003</v>
      </c>
      <c r="Y247" s="441"/>
      <c r="Z247" s="441">
        <f>60706000/1000000</f>
        <v>60.706000000000003</v>
      </c>
      <c r="AA247" s="365"/>
      <c r="AB247" s="441"/>
      <c r="AC247" s="441">
        <f t="shared" si="166"/>
        <v>60.706000000000003</v>
      </c>
      <c r="AD247" s="441"/>
      <c r="AE247" s="441">
        <f>60706000/1000000</f>
        <v>60.706000000000003</v>
      </c>
      <c r="AF247" s="365"/>
      <c r="AG247" s="441"/>
      <c r="AH247" s="20"/>
    </row>
    <row r="248" spans="1:34" s="344" customFormat="1" ht="18.75">
      <c r="A248" s="338"/>
      <c r="B248" s="339" t="s">
        <v>520</v>
      </c>
      <c r="C248" s="202"/>
      <c r="D248" s="340"/>
      <c r="E248" s="299"/>
      <c r="F248" s="341"/>
      <c r="G248" s="399"/>
      <c r="H248" s="218"/>
      <c r="I248" s="293"/>
      <c r="J248" s="193"/>
      <c r="K248" s="342">
        <f>+SUM(K249:K254)</f>
        <v>8164.2380000000003</v>
      </c>
      <c r="L248" s="342">
        <f t="shared" ref="L248:AH248" si="168">+SUM(L249:L254)</f>
        <v>0</v>
      </c>
      <c r="M248" s="342">
        <f t="shared" si="168"/>
        <v>0</v>
      </c>
      <c r="N248" s="342">
        <f t="shared" si="168"/>
        <v>364.52199999999999</v>
      </c>
      <c r="O248" s="342">
        <f t="shared" si="168"/>
        <v>0</v>
      </c>
      <c r="P248" s="342">
        <f t="shared" si="168"/>
        <v>364.52199999999999</v>
      </c>
      <c r="Q248" s="342">
        <f t="shared" si="168"/>
        <v>0</v>
      </c>
      <c r="R248" s="342">
        <f t="shared" si="168"/>
        <v>0</v>
      </c>
      <c r="S248" s="342">
        <f t="shared" si="168"/>
        <v>364.52199999999999</v>
      </c>
      <c r="T248" s="342">
        <f t="shared" si="168"/>
        <v>0</v>
      </c>
      <c r="U248" s="342">
        <f t="shared" si="168"/>
        <v>364.52199999999999</v>
      </c>
      <c r="V248" s="342">
        <f t="shared" si="168"/>
        <v>0</v>
      </c>
      <c r="W248" s="342">
        <f t="shared" si="168"/>
        <v>0</v>
      </c>
      <c r="X248" s="342">
        <f t="shared" ref="X248:AB248" si="169">+SUM(X249:X254)</f>
        <v>364.52199999999999</v>
      </c>
      <c r="Y248" s="342">
        <f t="shared" si="169"/>
        <v>0</v>
      </c>
      <c r="Z248" s="342">
        <f t="shared" si="169"/>
        <v>364.52199999999999</v>
      </c>
      <c r="AA248" s="342">
        <f t="shared" si="169"/>
        <v>0</v>
      </c>
      <c r="AB248" s="342">
        <f t="shared" si="169"/>
        <v>0</v>
      </c>
      <c r="AC248" s="342">
        <f t="shared" ref="AC248:AG248" si="170">+SUM(AC249:AC254)</f>
        <v>364.52199999999999</v>
      </c>
      <c r="AD248" s="342">
        <f t="shared" si="170"/>
        <v>0</v>
      </c>
      <c r="AE248" s="342">
        <f t="shared" si="170"/>
        <v>364.52199999999999</v>
      </c>
      <c r="AF248" s="342">
        <f t="shared" si="170"/>
        <v>0</v>
      </c>
      <c r="AG248" s="342">
        <f t="shared" si="170"/>
        <v>0</v>
      </c>
      <c r="AH248" s="342">
        <f t="shared" si="168"/>
        <v>0</v>
      </c>
    </row>
    <row r="249" spans="1:34" s="21" customFormat="1" ht="72" customHeight="1">
      <c r="A249" s="224">
        <v>1</v>
      </c>
      <c r="B249" s="225" t="s">
        <v>569</v>
      </c>
      <c r="C249" s="176" t="s">
        <v>61</v>
      </c>
      <c r="D249" s="227" t="s">
        <v>102</v>
      </c>
      <c r="E249" s="14" t="s">
        <v>42</v>
      </c>
      <c r="F249" s="228">
        <v>8015990</v>
      </c>
      <c r="G249" s="229">
        <v>161</v>
      </c>
      <c r="H249" s="111" t="s">
        <v>587</v>
      </c>
      <c r="I249" s="173" t="s">
        <v>80</v>
      </c>
      <c r="J249" s="109" t="s">
        <v>582</v>
      </c>
      <c r="K249" s="371">
        <v>692</v>
      </c>
      <c r="L249" s="371"/>
      <c r="M249" s="146"/>
      <c r="N249" s="441">
        <f t="shared" ref="N249:N253" si="171">SUM(O249:R249)</f>
        <v>126</v>
      </c>
      <c r="O249" s="514"/>
      <c r="P249" s="515">
        <v>126</v>
      </c>
      <c r="Q249" s="514"/>
      <c r="R249" s="514"/>
      <c r="S249" s="441">
        <f t="shared" ref="S249:S254" si="172">SUM(T249:W249)</f>
        <v>126</v>
      </c>
      <c r="T249" s="514"/>
      <c r="U249" s="515">
        <v>126</v>
      </c>
      <c r="V249" s="146"/>
      <c r="W249" s="146"/>
      <c r="X249" s="441">
        <f t="shared" ref="X249:X253" si="173">SUM(Y249:AB249)</f>
        <v>126</v>
      </c>
      <c r="Y249" s="514"/>
      <c r="Z249" s="515">
        <v>126</v>
      </c>
      <c r="AA249" s="514"/>
      <c r="AB249" s="514"/>
      <c r="AC249" s="441">
        <f t="shared" ref="AC249:AC253" si="174">SUM(AD249:AG249)</f>
        <v>126</v>
      </c>
      <c r="AD249" s="514"/>
      <c r="AE249" s="515">
        <v>126</v>
      </c>
      <c r="AF249" s="514"/>
      <c r="AG249" s="514"/>
      <c r="AH249" s="20"/>
    </row>
    <row r="250" spans="1:34" s="21" customFormat="1" ht="72" customHeight="1">
      <c r="A250" s="224">
        <v>2</v>
      </c>
      <c r="B250" s="225" t="s">
        <v>570</v>
      </c>
      <c r="C250" s="176" t="s">
        <v>61</v>
      </c>
      <c r="D250" s="227" t="s">
        <v>102</v>
      </c>
      <c r="E250" s="14" t="s">
        <v>42</v>
      </c>
      <c r="F250" s="228">
        <v>8015988</v>
      </c>
      <c r="G250" s="229">
        <v>161</v>
      </c>
      <c r="H250" s="111" t="s">
        <v>587</v>
      </c>
      <c r="I250" s="173" t="s">
        <v>80</v>
      </c>
      <c r="J250" s="109" t="s">
        <v>583</v>
      </c>
      <c r="K250" s="371">
        <v>740.62699999999995</v>
      </c>
      <c r="L250" s="371"/>
      <c r="M250" s="146"/>
      <c r="N250" s="441">
        <f t="shared" si="171"/>
        <v>150</v>
      </c>
      <c r="O250" s="514"/>
      <c r="P250" s="515">
        <v>150</v>
      </c>
      <c r="Q250" s="514"/>
      <c r="R250" s="514"/>
      <c r="S250" s="441">
        <f t="shared" si="172"/>
        <v>150</v>
      </c>
      <c r="T250" s="514"/>
      <c r="U250" s="515">
        <v>150</v>
      </c>
      <c r="V250" s="146"/>
      <c r="W250" s="146"/>
      <c r="X250" s="441">
        <f t="shared" si="173"/>
        <v>150</v>
      </c>
      <c r="Y250" s="514"/>
      <c r="Z250" s="515">
        <v>150</v>
      </c>
      <c r="AA250" s="514"/>
      <c r="AB250" s="514"/>
      <c r="AC250" s="441">
        <f t="shared" si="174"/>
        <v>150</v>
      </c>
      <c r="AD250" s="514"/>
      <c r="AE250" s="515">
        <v>150</v>
      </c>
      <c r="AF250" s="514"/>
      <c r="AG250" s="514"/>
      <c r="AH250" s="20"/>
    </row>
    <row r="251" spans="1:34" s="21" customFormat="1" ht="72" customHeight="1">
      <c r="A251" s="224">
        <v>3</v>
      </c>
      <c r="B251" s="225" t="s">
        <v>551</v>
      </c>
      <c r="C251" s="176" t="s">
        <v>61</v>
      </c>
      <c r="D251" s="227" t="s">
        <v>102</v>
      </c>
      <c r="E251" s="14" t="s">
        <v>42</v>
      </c>
      <c r="F251" s="228">
        <v>8015989</v>
      </c>
      <c r="G251" s="229">
        <v>161</v>
      </c>
      <c r="H251" s="111" t="s">
        <v>587</v>
      </c>
      <c r="I251" s="173" t="s">
        <v>80</v>
      </c>
      <c r="J251" s="109" t="s">
        <v>576</v>
      </c>
      <c r="K251" s="371">
        <v>670.53399999999999</v>
      </c>
      <c r="L251" s="371"/>
      <c r="M251" s="146"/>
      <c r="N251" s="441">
        <f t="shared" si="171"/>
        <v>3.5339999999999998</v>
      </c>
      <c r="O251" s="514"/>
      <c r="P251" s="515">
        <f>3534000/1000000</f>
        <v>3.5339999999999998</v>
      </c>
      <c r="Q251" s="514"/>
      <c r="R251" s="514"/>
      <c r="S251" s="441">
        <f t="shared" si="172"/>
        <v>3.5339999999999998</v>
      </c>
      <c r="T251" s="514"/>
      <c r="U251" s="515">
        <f>3534000/1000000</f>
        <v>3.5339999999999998</v>
      </c>
      <c r="V251" s="146"/>
      <c r="W251" s="146"/>
      <c r="X251" s="441">
        <f t="shared" si="173"/>
        <v>3.5339999999999998</v>
      </c>
      <c r="Y251" s="514"/>
      <c r="Z251" s="515">
        <f>3534000/1000000</f>
        <v>3.5339999999999998</v>
      </c>
      <c r="AA251" s="514"/>
      <c r="AB251" s="514"/>
      <c r="AC251" s="441">
        <f t="shared" si="174"/>
        <v>3.5339999999999998</v>
      </c>
      <c r="AD251" s="514"/>
      <c r="AE251" s="515">
        <f>3534000/1000000</f>
        <v>3.5339999999999998</v>
      </c>
      <c r="AF251" s="514"/>
      <c r="AG251" s="514"/>
      <c r="AH251" s="20"/>
    </row>
    <row r="252" spans="1:34" s="21" customFormat="1" ht="72" customHeight="1">
      <c r="A252" s="224">
        <v>4</v>
      </c>
      <c r="B252" s="225" t="s">
        <v>552</v>
      </c>
      <c r="C252" s="176" t="s">
        <v>61</v>
      </c>
      <c r="D252" s="227" t="s">
        <v>102</v>
      </c>
      <c r="E252" s="14" t="s">
        <v>42</v>
      </c>
      <c r="F252" s="228">
        <v>8015987</v>
      </c>
      <c r="G252" s="229">
        <v>161</v>
      </c>
      <c r="H252" s="111" t="s">
        <v>587</v>
      </c>
      <c r="I252" s="173" t="s">
        <v>80</v>
      </c>
      <c r="J252" s="109" t="s">
        <v>577</v>
      </c>
      <c r="K252" s="371">
        <v>668.57500000000005</v>
      </c>
      <c r="L252" s="371"/>
      <c r="M252" s="146"/>
      <c r="N252" s="441">
        <f t="shared" si="171"/>
        <v>3.5750000000000002</v>
      </c>
      <c r="O252" s="514"/>
      <c r="P252" s="515">
        <f>3575000/1000000</f>
        <v>3.5750000000000002</v>
      </c>
      <c r="Q252" s="514"/>
      <c r="R252" s="514"/>
      <c r="S252" s="441">
        <f t="shared" si="172"/>
        <v>3.5750000000000002</v>
      </c>
      <c r="T252" s="514"/>
      <c r="U252" s="515">
        <f>3575000/1000000</f>
        <v>3.5750000000000002</v>
      </c>
      <c r="V252" s="146"/>
      <c r="W252" s="146"/>
      <c r="X252" s="441">
        <f t="shared" si="173"/>
        <v>3.5750000000000002</v>
      </c>
      <c r="Y252" s="514"/>
      <c r="Z252" s="515">
        <f>3575000/1000000</f>
        <v>3.5750000000000002</v>
      </c>
      <c r="AA252" s="514"/>
      <c r="AB252" s="514"/>
      <c r="AC252" s="441">
        <f t="shared" si="174"/>
        <v>3.5750000000000002</v>
      </c>
      <c r="AD252" s="514"/>
      <c r="AE252" s="515">
        <f>3575000/1000000</f>
        <v>3.5750000000000002</v>
      </c>
      <c r="AF252" s="514"/>
      <c r="AG252" s="514"/>
      <c r="AH252" s="20"/>
    </row>
    <row r="253" spans="1:34" s="21" customFormat="1" ht="72" customHeight="1">
      <c r="A253" s="224">
        <v>5</v>
      </c>
      <c r="B253" s="225" t="s">
        <v>574</v>
      </c>
      <c r="C253" s="176" t="s">
        <v>61</v>
      </c>
      <c r="D253" s="227" t="s">
        <v>79</v>
      </c>
      <c r="E253" s="291" t="s">
        <v>42</v>
      </c>
      <c r="F253" s="228">
        <v>7867190</v>
      </c>
      <c r="G253" s="229">
        <v>161</v>
      </c>
      <c r="H253" s="111" t="s">
        <v>592</v>
      </c>
      <c r="I253" s="173" t="s">
        <v>80</v>
      </c>
      <c r="J253" s="109" t="s">
        <v>584</v>
      </c>
      <c r="K253" s="516">
        <v>857</v>
      </c>
      <c r="L253" s="516"/>
      <c r="M253" s="517"/>
      <c r="N253" s="441">
        <f t="shared" si="171"/>
        <v>55.707999999999998</v>
      </c>
      <c r="O253" s="514"/>
      <c r="P253" s="515">
        <f>55708000/1000000</f>
        <v>55.707999999999998</v>
      </c>
      <c r="Q253" s="514"/>
      <c r="R253" s="514"/>
      <c r="S253" s="441">
        <f t="shared" si="172"/>
        <v>55.707999999999998</v>
      </c>
      <c r="T253" s="514"/>
      <c r="U253" s="515">
        <f>55708000/1000000</f>
        <v>55.707999999999998</v>
      </c>
      <c r="V253" s="517"/>
      <c r="W253" s="517"/>
      <c r="X253" s="441">
        <f t="shared" si="173"/>
        <v>55.707999999999998</v>
      </c>
      <c r="Y253" s="514"/>
      <c r="Z253" s="515">
        <f>55708000/1000000</f>
        <v>55.707999999999998</v>
      </c>
      <c r="AA253" s="514"/>
      <c r="AB253" s="514"/>
      <c r="AC253" s="441">
        <f t="shared" si="174"/>
        <v>55.707999999999998</v>
      </c>
      <c r="AD253" s="514"/>
      <c r="AE253" s="515">
        <f>55708000/1000000</f>
        <v>55.707999999999998</v>
      </c>
      <c r="AF253" s="514"/>
      <c r="AG253" s="514"/>
      <c r="AH253" s="20"/>
    </row>
    <row r="254" spans="1:34" s="21" customFormat="1" ht="72" customHeight="1">
      <c r="A254" s="518">
        <v>6</v>
      </c>
      <c r="B254" s="519" t="s">
        <v>565</v>
      </c>
      <c r="C254" s="520" t="s">
        <v>61</v>
      </c>
      <c r="D254" s="521" t="s">
        <v>443</v>
      </c>
      <c r="E254" s="35" t="s">
        <v>42</v>
      </c>
      <c r="F254" s="522">
        <v>7921838</v>
      </c>
      <c r="G254" s="523">
        <v>161</v>
      </c>
      <c r="H254" s="501" t="s">
        <v>590</v>
      </c>
      <c r="I254" s="524" t="s">
        <v>48</v>
      </c>
      <c r="J254" s="495" t="s">
        <v>580</v>
      </c>
      <c r="K254" s="525">
        <v>4535.5020000000004</v>
      </c>
      <c r="L254" s="525"/>
      <c r="M254" s="148"/>
      <c r="N254" s="441">
        <f t="shared" ref="N254" si="175">SUM(O254:R254)</f>
        <v>25.704999999999998</v>
      </c>
      <c r="O254" s="514"/>
      <c r="P254" s="515">
        <f>25705000/1000000</f>
        <v>25.704999999999998</v>
      </c>
      <c r="Q254" s="514"/>
      <c r="R254" s="514"/>
      <c r="S254" s="441">
        <f t="shared" si="172"/>
        <v>25.704999999999998</v>
      </c>
      <c r="T254" s="514"/>
      <c r="U254" s="515">
        <f>25705000/1000000</f>
        <v>25.704999999999998</v>
      </c>
      <c r="V254" s="148"/>
      <c r="W254" s="148"/>
      <c r="X254" s="441">
        <f t="shared" ref="X254" si="176">SUM(Y254:AB254)</f>
        <v>25.704999999999998</v>
      </c>
      <c r="Y254" s="514"/>
      <c r="Z254" s="515">
        <f>25705000/1000000</f>
        <v>25.704999999999998</v>
      </c>
      <c r="AA254" s="514"/>
      <c r="AB254" s="514"/>
      <c r="AC254" s="441">
        <f t="shared" ref="AC254" si="177">SUM(AD254:AG254)</f>
        <v>25.704999999999998</v>
      </c>
      <c r="AD254" s="514"/>
      <c r="AE254" s="515">
        <f>25705000/1000000</f>
        <v>25.704999999999998</v>
      </c>
      <c r="AF254" s="514"/>
      <c r="AG254" s="514"/>
      <c r="AH254" s="20"/>
    </row>
    <row r="255" spans="1:34" s="264" customFormat="1">
      <c r="A255" s="256"/>
      <c r="B255" s="261" t="s">
        <v>344</v>
      </c>
      <c r="C255" s="234"/>
      <c r="D255" s="262"/>
      <c r="E255" s="262"/>
      <c r="F255" s="237"/>
      <c r="G255" s="237"/>
      <c r="H255" s="234"/>
      <c r="I255" s="233"/>
      <c r="J255" s="193"/>
      <c r="K255" s="239">
        <f>+SUM(K256:K259)</f>
        <v>14176.775</v>
      </c>
      <c r="L255" s="239">
        <f t="shared" ref="L255:AH255" si="178">+SUM(L256:L259)</f>
        <v>0</v>
      </c>
      <c r="M255" s="239">
        <f t="shared" si="178"/>
        <v>0</v>
      </c>
      <c r="N255" s="239">
        <f t="shared" si="178"/>
        <v>219.35199999999998</v>
      </c>
      <c r="O255" s="239">
        <f t="shared" si="178"/>
        <v>26.582000000000001</v>
      </c>
      <c r="P255" s="239">
        <f t="shared" si="178"/>
        <v>192.76999999999998</v>
      </c>
      <c r="Q255" s="239">
        <f t="shared" si="178"/>
        <v>0</v>
      </c>
      <c r="R255" s="239">
        <f t="shared" si="178"/>
        <v>0</v>
      </c>
      <c r="S255" s="239">
        <f t="shared" si="178"/>
        <v>261.62399999999997</v>
      </c>
      <c r="T255" s="239">
        <f t="shared" si="178"/>
        <v>68.853999999999999</v>
      </c>
      <c r="U255" s="239">
        <f t="shared" si="178"/>
        <v>192.76999999999998</v>
      </c>
      <c r="V255" s="239">
        <f t="shared" si="178"/>
        <v>0</v>
      </c>
      <c r="W255" s="239">
        <f t="shared" si="178"/>
        <v>0</v>
      </c>
      <c r="X255" s="239">
        <f t="shared" ref="X255:AB255" si="179">+SUM(X256:X259)</f>
        <v>219.35199999999998</v>
      </c>
      <c r="Y255" s="239">
        <f t="shared" si="179"/>
        <v>26.582000000000001</v>
      </c>
      <c r="Z255" s="239">
        <f t="shared" si="179"/>
        <v>192.76999999999998</v>
      </c>
      <c r="AA255" s="239">
        <f t="shared" si="179"/>
        <v>0</v>
      </c>
      <c r="AB255" s="239">
        <f t="shared" si="179"/>
        <v>0</v>
      </c>
      <c r="AC255" s="239">
        <f t="shared" ref="AC255:AG255" si="180">+SUM(AC256:AC259)</f>
        <v>219.35199999999998</v>
      </c>
      <c r="AD255" s="239">
        <f t="shared" si="180"/>
        <v>26.582000000000001</v>
      </c>
      <c r="AE255" s="239">
        <f t="shared" si="180"/>
        <v>192.76999999999998</v>
      </c>
      <c r="AF255" s="239">
        <f t="shared" si="180"/>
        <v>0</v>
      </c>
      <c r="AG255" s="239">
        <f t="shared" si="180"/>
        <v>0</v>
      </c>
      <c r="AH255" s="239">
        <f t="shared" si="178"/>
        <v>0</v>
      </c>
    </row>
    <row r="256" spans="1:34" s="139" customFormat="1" ht="47.25">
      <c r="A256" s="224">
        <v>1</v>
      </c>
      <c r="B256" s="225" t="s">
        <v>345</v>
      </c>
      <c r="C256" s="176" t="s">
        <v>61</v>
      </c>
      <c r="D256" s="227" t="s">
        <v>443</v>
      </c>
      <c r="E256" s="14" t="s">
        <v>42</v>
      </c>
      <c r="F256" s="228">
        <v>7922597</v>
      </c>
      <c r="G256" s="229">
        <v>341</v>
      </c>
      <c r="H256" s="111" t="s">
        <v>404</v>
      </c>
      <c r="I256" s="173" t="s">
        <v>48</v>
      </c>
      <c r="J256" s="109" t="s">
        <v>475</v>
      </c>
      <c r="K256" s="371">
        <v>4690.1949999999997</v>
      </c>
      <c r="L256" s="371"/>
      <c r="M256" s="146"/>
      <c r="N256" s="46">
        <f>SUM(O256:R256)</f>
        <v>26.582000000000001</v>
      </c>
      <c r="O256" s="146">
        <v>26.582000000000001</v>
      </c>
      <c r="P256" s="146"/>
      <c r="Q256" s="151"/>
      <c r="R256" s="146"/>
      <c r="S256" s="450">
        <f>SUM(T256:W256)</f>
        <v>26.582000000000001</v>
      </c>
      <c r="T256" s="146">
        <v>26.582000000000001</v>
      </c>
      <c r="U256" s="450"/>
      <c r="V256" s="146"/>
      <c r="W256" s="369"/>
      <c r="X256" s="46">
        <f>SUM(Y256:AB256)</f>
        <v>26.582000000000001</v>
      </c>
      <c r="Y256" s="146">
        <v>26.582000000000001</v>
      </c>
      <c r="Z256" s="146"/>
      <c r="AA256" s="151"/>
      <c r="AB256" s="146"/>
      <c r="AC256" s="46">
        <f>SUM(AD256:AG256)</f>
        <v>26.582000000000001</v>
      </c>
      <c r="AD256" s="146">
        <v>26.582000000000001</v>
      </c>
      <c r="AE256" s="146"/>
      <c r="AF256" s="151"/>
      <c r="AG256" s="146"/>
      <c r="AH256" s="369"/>
    </row>
    <row r="257" spans="1:34" s="139" customFormat="1" ht="126">
      <c r="A257" s="224">
        <v>2</v>
      </c>
      <c r="B257" s="225" t="s">
        <v>556</v>
      </c>
      <c r="C257" s="176" t="s">
        <v>61</v>
      </c>
      <c r="D257" s="227" t="s">
        <v>585</v>
      </c>
      <c r="E257" s="14" t="s">
        <v>42</v>
      </c>
      <c r="F257" s="228">
        <v>7922597</v>
      </c>
      <c r="G257" s="229">
        <v>341</v>
      </c>
      <c r="H257" s="111" t="s">
        <v>589</v>
      </c>
      <c r="I257" s="173" t="s">
        <v>48</v>
      </c>
      <c r="J257" s="109" t="s">
        <v>579</v>
      </c>
      <c r="K257" s="371">
        <v>7114.5069999999996</v>
      </c>
      <c r="L257" s="371"/>
      <c r="M257" s="146"/>
      <c r="N257" s="46">
        <f>SUM(O257:R257)</f>
        <v>35.052999999999997</v>
      </c>
      <c r="O257" s="146"/>
      <c r="P257" s="146">
        <v>35.052999999999997</v>
      </c>
      <c r="Q257" s="151"/>
      <c r="R257" s="146"/>
      <c r="S257" s="450">
        <f>SUM(T257:W257)</f>
        <v>35.052999999999997</v>
      </c>
      <c r="T257" s="450"/>
      <c r="U257" s="146">
        <v>35.052999999999997</v>
      </c>
      <c r="V257" s="146"/>
      <c r="W257" s="369"/>
      <c r="X257" s="46">
        <f>SUM(Y257:AB257)</f>
        <v>35.052999999999997</v>
      </c>
      <c r="Y257" s="146"/>
      <c r="Z257" s="146">
        <v>35.052999999999997</v>
      </c>
      <c r="AA257" s="151"/>
      <c r="AB257" s="146"/>
      <c r="AC257" s="46">
        <f>SUM(AD257:AG257)</f>
        <v>35.052999999999997</v>
      </c>
      <c r="AD257" s="146"/>
      <c r="AE257" s="146">
        <v>35.052999999999997</v>
      </c>
      <c r="AF257" s="151"/>
      <c r="AG257" s="146"/>
      <c r="AH257" s="369"/>
    </row>
    <row r="258" spans="1:34" s="139" customFormat="1" ht="37.5">
      <c r="A258" s="224">
        <v>3</v>
      </c>
      <c r="B258" s="447" t="s">
        <v>698</v>
      </c>
      <c r="C258" s="176" t="s">
        <v>61</v>
      </c>
      <c r="D258" s="227" t="s">
        <v>102</v>
      </c>
      <c r="E258" s="14" t="s">
        <v>42</v>
      </c>
      <c r="F258" s="370">
        <v>8015984</v>
      </c>
      <c r="G258" s="229">
        <v>341</v>
      </c>
      <c r="H258" s="526"/>
      <c r="I258" s="470"/>
      <c r="J258" s="527"/>
      <c r="K258" s="466"/>
      <c r="L258" s="365"/>
      <c r="M258" s="365"/>
      <c r="N258" s="441">
        <f t="shared" ref="N258" si="181">SUM(O258:R258)</f>
        <v>115.44499999999999</v>
      </c>
      <c r="O258" s="441"/>
      <c r="P258" s="441">
        <f>115445000/1000000</f>
        <v>115.44499999999999</v>
      </c>
      <c r="Q258" s="441"/>
      <c r="R258" s="441"/>
      <c r="S258" s="441">
        <f>SUM(T258:W258)</f>
        <v>115.44499999999999</v>
      </c>
      <c r="T258" s="441"/>
      <c r="U258" s="441">
        <f>115445000/1000000</f>
        <v>115.44499999999999</v>
      </c>
      <c r="V258" s="441"/>
      <c r="W258" s="369"/>
      <c r="X258" s="441">
        <f t="shared" ref="X258" si="182">SUM(Y258:AB258)</f>
        <v>115.44499999999999</v>
      </c>
      <c r="Y258" s="441"/>
      <c r="Z258" s="441">
        <f>115445000/1000000</f>
        <v>115.44499999999999</v>
      </c>
      <c r="AA258" s="441"/>
      <c r="AB258" s="441"/>
      <c r="AC258" s="441">
        <f t="shared" ref="AC258" si="183">SUM(AD258:AG258)</f>
        <v>115.44499999999999</v>
      </c>
      <c r="AD258" s="441"/>
      <c r="AE258" s="441">
        <f>115445000/1000000</f>
        <v>115.44499999999999</v>
      </c>
      <c r="AF258" s="441"/>
      <c r="AG258" s="441"/>
      <c r="AH258" s="369"/>
    </row>
    <row r="259" spans="1:34" s="21" customFormat="1" ht="113.25" customHeight="1">
      <c r="A259" s="224">
        <v>4</v>
      </c>
      <c r="B259" s="372" t="s">
        <v>553</v>
      </c>
      <c r="C259" s="373" t="s">
        <v>61</v>
      </c>
      <c r="D259" s="374" t="s">
        <v>444</v>
      </c>
      <c r="E259" s="43" t="s">
        <v>42</v>
      </c>
      <c r="F259" s="375">
        <v>7922916</v>
      </c>
      <c r="G259" s="528">
        <v>341</v>
      </c>
      <c r="H259" s="376" t="s">
        <v>588</v>
      </c>
      <c r="I259" s="377" t="s">
        <v>48</v>
      </c>
      <c r="J259" s="378" t="s">
        <v>578</v>
      </c>
      <c r="K259" s="379">
        <v>2372.0729999999999</v>
      </c>
      <c r="L259" s="379"/>
      <c r="M259" s="147"/>
      <c r="N259" s="116">
        <f>SUM(O259:R259)</f>
        <v>42.271999999999998</v>
      </c>
      <c r="O259" s="147"/>
      <c r="P259" s="147">
        <f>42272000/1000000</f>
        <v>42.271999999999998</v>
      </c>
      <c r="Q259" s="529"/>
      <c r="R259" s="147"/>
      <c r="S259" s="450">
        <f>SUM(T259:W259)</f>
        <v>84.543999999999997</v>
      </c>
      <c r="T259" s="147">
        <f>42272000/1000000</f>
        <v>42.271999999999998</v>
      </c>
      <c r="U259" s="147">
        <f>42272000/1000000</f>
        <v>42.271999999999998</v>
      </c>
      <c r="V259" s="147"/>
      <c r="W259" s="117"/>
      <c r="X259" s="116">
        <f>SUM(Y259:AB259)</f>
        <v>42.271999999999998</v>
      </c>
      <c r="Y259" s="147"/>
      <c r="Z259" s="147">
        <f>42272000/1000000</f>
        <v>42.271999999999998</v>
      </c>
      <c r="AA259" s="529"/>
      <c r="AB259" s="147"/>
      <c r="AC259" s="116">
        <f>SUM(AD259:AG259)</f>
        <v>42.271999999999998</v>
      </c>
      <c r="AD259" s="147"/>
      <c r="AE259" s="147">
        <f>42272000/1000000</f>
        <v>42.271999999999998</v>
      </c>
      <c r="AF259" s="529"/>
      <c r="AG259" s="147"/>
      <c r="AH259" s="20"/>
    </row>
    <row r="260" spans="1:34" s="264" customFormat="1">
      <c r="A260" s="256"/>
      <c r="B260" s="261" t="s">
        <v>92</v>
      </c>
      <c r="C260" s="234"/>
      <c r="D260" s="262"/>
      <c r="E260" s="262"/>
      <c r="F260" s="237"/>
      <c r="G260" s="237"/>
      <c r="H260" s="234"/>
      <c r="I260" s="233"/>
      <c r="J260" s="193"/>
      <c r="K260" s="239">
        <f>+SUM(K261:K268)</f>
        <v>47917.103999999999</v>
      </c>
      <c r="L260" s="239">
        <f t="shared" ref="L260:W260" si="184">+SUM(L261:L268)</f>
        <v>0</v>
      </c>
      <c r="M260" s="239">
        <f t="shared" si="184"/>
        <v>0</v>
      </c>
      <c r="N260" s="239">
        <f t="shared" si="184"/>
        <v>367.86649999999997</v>
      </c>
      <c r="O260" s="239">
        <f t="shared" si="184"/>
        <v>21.448</v>
      </c>
      <c r="P260" s="239">
        <f t="shared" si="184"/>
        <v>346.41849999999999</v>
      </c>
      <c r="Q260" s="239">
        <f t="shared" si="184"/>
        <v>0</v>
      </c>
      <c r="R260" s="239">
        <f t="shared" si="184"/>
        <v>0</v>
      </c>
      <c r="S260" s="239">
        <f t="shared" si="184"/>
        <v>367.86649999999997</v>
      </c>
      <c r="T260" s="239">
        <f t="shared" si="184"/>
        <v>21.448</v>
      </c>
      <c r="U260" s="239">
        <f t="shared" si="184"/>
        <v>346.41849999999999</v>
      </c>
      <c r="V260" s="239">
        <f t="shared" si="184"/>
        <v>0</v>
      </c>
      <c r="W260" s="239">
        <f t="shared" si="184"/>
        <v>0</v>
      </c>
      <c r="X260" s="239">
        <f t="shared" ref="X260:AB260" si="185">+SUM(X261:X268)</f>
        <v>367.86649999999997</v>
      </c>
      <c r="Y260" s="239">
        <f t="shared" si="185"/>
        <v>21.448</v>
      </c>
      <c r="Z260" s="239">
        <f t="shared" si="185"/>
        <v>346.41849999999999</v>
      </c>
      <c r="AA260" s="239">
        <f t="shared" si="185"/>
        <v>0</v>
      </c>
      <c r="AB260" s="239">
        <f t="shared" si="185"/>
        <v>0</v>
      </c>
      <c r="AC260" s="239">
        <f t="shared" ref="AC260:AG260" si="186">+SUM(AC261:AC268)</f>
        <v>367.86649999999997</v>
      </c>
      <c r="AD260" s="239">
        <f t="shared" si="186"/>
        <v>21.448</v>
      </c>
      <c r="AE260" s="239">
        <f t="shared" si="186"/>
        <v>346.41849999999999</v>
      </c>
      <c r="AF260" s="239">
        <f t="shared" si="186"/>
        <v>0</v>
      </c>
      <c r="AG260" s="239">
        <f t="shared" si="186"/>
        <v>0</v>
      </c>
      <c r="AH260" s="263"/>
    </row>
    <row r="261" spans="1:34" s="139" customFormat="1" ht="56.25">
      <c r="A261" s="224">
        <v>1</v>
      </c>
      <c r="B261" s="225" t="s">
        <v>98</v>
      </c>
      <c r="C261" s="176" t="s">
        <v>61</v>
      </c>
      <c r="D261" s="227" t="s">
        <v>41</v>
      </c>
      <c r="E261" s="14" t="s">
        <v>42</v>
      </c>
      <c r="F261" s="228">
        <v>7871655</v>
      </c>
      <c r="G261" s="229">
        <v>71</v>
      </c>
      <c r="H261" s="111" t="s">
        <v>405</v>
      </c>
      <c r="I261" s="173" t="s">
        <v>512</v>
      </c>
      <c r="J261" s="109" t="s">
        <v>160</v>
      </c>
      <c r="K261" s="371">
        <v>8799.2669999999998</v>
      </c>
      <c r="L261" s="371"/>
      <c r="M261" s="146"/>
      <c r="N261" s="441">
        <f t="shared" ref="N261:N264" si="187">SUM(O261:R261)</f>
        <v>13.814</v>
      </c>
      <c r="O261" s="441">
        <v>13.814</v>
      </c>
      <c r="P261" s="513"/>
      <c r="Q261" s="151"/>
      <c r="R261" s="146"/>
      <c r="S261" s="441">
        <f>SUM(T261:W261)</f>
        <v>13.814</v>
      </c>
      <c r="T261" s="441">
        <v>13.814</v>
      </c>
      <c r="U261" s="513"/>
      <c r="V261" s="441"/>
      <c r="W261" s="146"/>
      <c r="X261" s="441">
        <f t="shared" ref="X261:X264" si="188">SUM(Y261:AB261)</f>
        <v>13.814</v>
      </c>
      <c r="Y261" s="441">
        <v>13.814</v>
      </c>
      <c r="Z261" s="513"/>
      <c r="AA261" s="151"/>
      <c r="AB261" s="146"/>
      <c r="AC261" s="441">
        <f t="shared" ref="AC261:AC264" si="189">SUM(AD261:AG261)</f>
        <v>13.814</v>
      </c>
      <c r="AD261" s="441">
        <v>13.814</v>
      </c>
      <c r="AE261" s="513"/>
      <c r="AF261" s="151"/>
      <c r="AG261" s="146"/>
      <c r="AH261" s="138"/>
    </row>
    <row r="262" spans="1:34" s="139" customFormat="1" ht="47.25">
      <c r="A262" s="224">
        <v>2</v>
      </c>
      <c r="B262" s="225" t="s">
        <v>346</v>
      </c>
      <c r="C262" s="176" t="s">
        <v>61</v>
      </c>
      <c r="D262" s="227" t="s">
        <v>93</v>
      </c>
      <c r="E262" s="14" t="s">
        <v>42</v>
      </c>
      <c r="F262" s="228">
        <v>7922596</v>
      </c>
      <c r="G262" s="229">
        <v>71</v>
      </c>
      <c r="H262" s="111" t="s">
        <v>406</v>
      </c>
      <c r="I262" s="173" t="s">
        <v>48</v>
      </c>
      <c r="J262" s="109" t="s">
        <v>476</v>
      </c>
      <c r="K262" s="371">
        <v>5718.3639999999996</v>
      </c>
      <c r="L262" s="371"/>
      <c r="M262" s="146"/>
      <c r="N262" s="441">
        <f t="shared" si="187"/>
        <v>7.3639999999999999</v>
      </c>
      <c r="O262" s="441">
        <v>7.3639999999999999</v>
      </c>
      <c r="P262" s="513"/>
      <c r="Q262" s="151"/>
      <c r="R262" s="146"/>
      <c r="S262" s="441">
        <f>SUM(T262:W262)</f>
        <v>7.3639999999999999</v>
      </c>
      <c r="T262" s="441">
        <v>7.3639999999999999</v>
      </c>
      <c r="U262" s="513"/>
      <c r="V262" s="441"/>
      <c r="W262" s="146"/>
      <c r="X262" s="441">
        <f t="shared" si="188"/>
        <v>7.3639999999999999</v>
      </c>
      <c r="Y262" s="441">
        <v>7.3639999999999999</v>
      </c>
      <c r="Z262" s="513"/>
      <c r="AA262" s="151"/>
      <c r="AB262" s="146"/>
      <c r="AC262" s="441">
        <f t="shared" si="189"/>
        <v>7.3639999999999999</v>
      </c>
      <c r="AD262" s="441">
        <v>7.3639999999999999</v>
      </c>
      <c r="AE262" s="513"/>
      <c r="AF262" s="151"/>
      <c r="AG262" s="146"/>
      <c r="AH262" s="138"/>
    </row>
    <row r="263" spans="1:34" s="139" customFormat="1" ht="157.5">
      <c r="A263" s="224">
        <v>3</v>
      </c>
      <c r="B263" s="225" t="s">
        <v>550</v>
      </c>
      <c r="C263" s="176" t="s">
        <v>61</v>
      </c>
      <c r="D263" s="227" t="s">
        <v>93</v>
      </c>
      <c r="E263" s="14" t="s">
        <v>42</v>
      </c>
      <c r="F263" s="228">
        <v>7922908</v>
      </c>
      <c r="G263" s="229">
        <v>72</v>
      </c>
      <c r="H263" s="111" t="s">
        <v>586</v>
      </c>
      <c r="I263" s="173" t="s">
        <v>48</v>
      </c>
      <c r="J263" s="109" t="s">
        <v>575</v>
      </c>
      <c r="K263" s="371">
        <v>4797.2030000000004</v>
      </c>
      <c r="L263" s="371"/>
      <c r="M263" s="146"/>
      <c r="N263" s="441">
        <f t="shared" si="187"/>
        <v>21.396000000000001</v>
      </c>
      <c r="O263" s="441"/>
      <c r="P263" s="441">
        <f>21396000/1000000</f>
        <v>21.396000000000001</v>
      </c>
      <c r="Q263" s="151"/>
      <c r="R263" s="146"/>
      <c r="S263" s="441">
        <f>SUM(T263:W263)</f>
        <v>21.396000000000001</v>
      </c>
      <c r="T263" s="441"/>
      <c r="U263" s="441">
        <f>21396000/1000000</f>
        <v>21.396000000000001</v>
      </c>
      <c r="V263" s="441"/>
      <c r="W263" s="146"/>
      <c r="X263" s="441">
        <f t="shared" si="188"/>
        <v>21.396000000000001</v>
      </c>
      <c r="Y263" s="441"/>
      <c r="Z263" s="441">
        <f>21396000/1000000</f>
        <v>21.396000000000001</v>
      </c>
      <c r="AA263" s="151"/>
      <c r="AB263" s="146"/>
      <c r="AC263" s="441">
        <f t="shared" si="189"/>
        <v>21.396000000000001</v>
      </c>
      <c r="AD263" s="441"/>
      <c r="AE263" s="441">
        <f>21396000/1000000</f>
        <v>21.396000000000001</v>
      </c>
      <c r="AF263" s="151"/>
      <c r="AG263" s="146"/>
      <c r="AH263" s="138"/>
    </row>
    <row r="264" spans="1:34" s="139" customFormat="1" ht="63">
      <c r="A264" s="224">
        <v>4</v>
      </c>
      <c r="B264" s="225" t="s">
        <v>347</v>
      </c>
      <c r="C264" s="176" t="s">
        <v>61</v>
      </c>
      <c r="D264" s="227" t="s">
        <v>93</v>
      </c>
      <c r="E264" s="14" t="s">
        <v>42</v>
      </c>
      <c r="F264" s="228">
        <v>7921843</v>
      </c>
      <c r="G264" s="229">
        <v>72</v>
      </c>
      <c r="H264" s="111" t="s">
        <v>407</v>
      </c>
      <c r="I264" s="173" t="s">
        <v>48</v>
      </c>
      <c r="J264" s="109" t="s">
        <v>477</v>
      </c>
      <c r="K264" s="371">
        <v>13300.27</v>
      </c>
      <c r="L264" s="371"/>
      <c r="M264" s="146"/>
      <c r="N264" s="441">
        <f t="shared" si="187"/>
        <v>0.27</v>
      </c>
      <c r="O264" s="530">
        <v>0.27</v>
      </c>
      <c r="P264" s="513"/>
      <c r="Q264" s="151"/>
      <c r="R264" s="146"/>
      <c r="S264" s="441">
        <f>SUM(T264:W264)</f>
        <v>0.27</v>
      </c>
      <c r="T264" s="530">
        <v>0.27</v>
      </c>
      <c r="U264" s="513"/>
      <c r="V264" s="441"/>
      <c r="W264" s="146"/>
      <c r="X264" s="441">
        <f t="shared" si="188"/>
        <v>0.27</v>
      </c>
      <c r="Y264" s="530">
        <v>0.27</v>
      </c>
      <c r="Z264" s="513"/>
      <c r="AA264" s="151"/>
      <c r="AB264" s="146"/>
      <c r="AC264" s="441">
        <f t="shared" si="189"/>
        <v>0.27</v>
      </c>
      <c r="AD264" s="530">
        <v>0.27</v>
      </c>
      <c r="AE264" s="513"/>
      <c r="AF264" s="151"/>
      <c r="AG264" s="146"/>
      <c r="AH264" s="138"/>
    </row>
    <row r="265" spans="1:34" s="139" customFormat="1" ht="47.25">
      <c r="A265" s="224">
        <v>5</v>
      </c>
      <c r="B265" s="387" t="s">
        <v>629</v>
      </c>
      <c r="C265" s="176" t="s">
        <v>61</v>
      </c>
      <c r="D265" s="236" t="s">
        <v>443</v>
      </c>
      <c r="E265" s="111" t="s">
        <v>42</v>
      </c>
      <c r="F265" s="238">
        <v>7921841</v>
      </c>
      <c r="G265" s="220" t="s">
        <v>630</v>
      </c>
      <c r="H265" s="111" t="s">
        <v>631</v>
      </c>
      <c r="I265" s="173" t="s">
        <v>48</v>
      </c>
      <c r="J265" s="254" t="s">
        <v>54</v>
      </c>
      <c r="K265" s="385">
        <v>5551</v>
      </c>
      <c r="L265" s="385"/>
      <c r="M265" s="164"/>
      <c r="N265" s="441">
        <f t="shared" ref="N265" si="190">SUM(O265:R265)</f>
        <v>119.72190000000001</v>
      </c>
      <c r="O265" s="530"/>
      <c r="P265" s="441">
        <f>119721900/1000000</f>
        <v>119.72190000000001</v>
      </c>
      <c r="Q265" s="386"/>
      <c r="R265" s="164"/>
      <c r="S265" s="441">
        <f>SUM(T265:W265)</f>
        <v>119.72190000000001</v>
      </c>
      <c r="T265" s="530"/>
      <c r="U265" s="441">
        <f>119721900/1000000</f>
        <v>119.72190000000001</v>
      </c>
      <c r="V265" s="441"/>
      <c r="W265" s="164"/>
      <c r="X265" s="441">
        <f t="shared" ref="X265" si="191">SUM(Y265:AB265)</f>
        <v>119.72190000000001</v>
      </c>
      <c r="Y265" s="530"/>
      <c r="Z265" s="441">
        <f>119721900/1000000</f>
        <v>119.72190000000001</v>
      </c>
      <c r="AA265" s="386"/>
      <c r="AB265" s="164"/>
      <c r="AC265" s="441">
        <f t="shared" ref="AC265" si="192">SUM(AD265:AG265)</f>
        <v>119.72190000000001</v>
      </c>
      <c r="AD265" s="530"/>
      <c r="AE265" s="441">
        <f>119721900/1000000</f>
        <v>119.72190000000001</v>
      </c>
      <c r="AF265" s="386"/>
      <c r="AG265" s="164"/>
      <c r="AH265" s="138"/>
    </row>
    <row r="266" spans="1:34" s="139" customFormat="1" ht="61.5" customHeight="1">
      <c r="A266" s="224">
        <v>6</v>
      </c>
      <c r="B266" s="380" t="s">
        <v>625</v>
      </c>
      <c r="C266" s="176" t="s">
        <v>61</v>
      </c>
      <c r="D266" s="381" t="s">
        <v>443</v>
      </c>
      <c r="E266" s="298" t="s">
        <v>42</v>
      </c>
      <c r="F266" s="382">
        <v>7922915</v>
      </c>
      <c r="G266" s="383" t="s">
        <v>626</v>
      </c>
      <c r="H266" s="111" t="s">
        <v>627</v>
      </c>
      <c r="I266" s="255" t="s">
        <v>48</v>
      </c>
      <c r="J266" s="384" t="s">
        <v>628</v>
      </c>
      <c r="K266" s="385">
        <v>9751</v>
      </c>
      <c r="L266" s="385"/>
      <c r="M266" s="164"/>
      <c r="N266" s="441">
        <f>SUM(O266:R266)</f>
        <v>38.741999999999997</v>
      </c>
      <c r="O266" s="530"/>
      <c r="P266" s="441">
        <v>38.741999999999997</v>
      </c>
      <c r="Q266" s="386"/>
      <c r="R266" s="164"/>
      <c r="S266" s="441">
        <f t="shared" ref="S266:S268" si="193">SUM(T266:W266)</f>
        <v>38.741999999999997</v>
      </c>
      <c r="T266" s="530"/>
      <c r="U266" s="441">
        <v>38.741999999999997</v>
      </c>
      <c r="V266" s="441"/>
      <c r="W266" s="164"/>
      <c r="X266" s="441">
        <f>SUM(Y266:AB266)</f>
        <v>38.741999999999997</v>
      </c>
      <c r="Y266" s="530"/>
      <c r="Z266" s="441">
        <v>38.741999999999997</v>
      </c>
      <c r="AA266" s="386"/>
      <c r="AB266" s="164"/>
      <c r="AC266" s="441">
        <f>SUM(AD266:AG266)</f>
        <v>38.741999999999997</v>
      </c>
      <c r="AD266" s="530"/>
      <c r="AE266" s="441">
        <v>38.741999999999997</v>
      </c>
      <c r="AF266" s="386"/>
      <c r="AG266" s="164"/>
      <c r="AH266" s="138"/>
    </row>
    <row r="267" spans="1:34" s="21" customFormat="1" ht="113.25" customHeight="1">
      <c r="A267" s="224">
        <v>7</v>
      </c>
      <c r="B267" s="531" t="s">
        <v>697</v>
      </c>
      <c r="C267" s="388"/>
      <c r="D267" s="388"/>
      <c r="E267" s="388"/>
      <c r="F267" s="388">
        <v>7921836</v>
      </c>
      <c r="G267" s="532"/>
      <c r="H267" s="526"/>
      <c r="I267" s="470"/>
      <c r="J267" s="527"/>
      <c r="K267" s="466"/>
      <c r="L267" s="365"/>
      <c r="M267" s="365"/>
      <c r="N267" s="441">
        <f>SUM(O267:R267)</f>
        <v>64.213999999999999</v>
      </c>
      <c r="O267" s="530"/>
      <c r="P267" s="441">
        <f>64214000/1000000</f>
        <v>64.213999999999999</v>
      </c>
      <c r="Q267" s="441"/>
      <c r="R267" s="533"/>
      <c r="S267" s="441">
        <f t="shared" si="193"/>
        <v>64.213999999999999</v>
      </c>
      <c r="T267" s="530"/>
      <c r="U267" s="441">
        <f>64214000/1000000</f>
        <v>64.213999999999999</v>
      </c>
      <c r="V267" s="441"/>
      <c r="W267" s="441"/>
      <c r="X267" s="441">
        <f>SUM(Y267:AB267)</f>
        <v>64.213999999999999</v>
      </c>
      <c r="Y267" s="530"/>
      <c r="Z267" s="441">
        <f>64214000/1000000</f>
        <v>64.213999999999999</v>
      </c>
      <c r="AA267" s="441"/>
      <c r="AB267" s="533"/>
      <c r="AC267" s="441">
        <f>SUM(AD267:AG267)</f>
        <v>64.213999999999999</v>
      </c>
      <c r="AD267" s="530"/>
      <c r="AE267" s="441">
        <f>64214000/1000000</f>
        <v>64.213999999999999</v>
      </c>
      <c r="AF267" s="441"/>
      <c r="AG267" s="533"/>
      <c r="AH267" s="20"/>
    </row>
    <row r="268" spans="1:34" s="21" customFormat="1" ht="113.25" customHeight="1">
      <c r="A268" s="224">
        <v>8</v>
      </c>
      <c r="B268" s="531" t="s">
        <v>524</v>
      </c>
      <c r="C268" s="388"/>
      <c r="D268" s="388"/>
      <c r="E268" s="388"/>
      <c r="F268" s="388">
        <v>8017209</v>
      </c>
      <c r="G268" s="532"/>
      <c r="H268" s="526"/>
      <c r="I268" s="470"/>
      <c r="J268" s="527"/>
      <c r="K268" s="466"/>
      <c r="L268" s="365"/>
      <c r="M268" s="365"/>
      <c r="N268" s="441">
        <f>SUM(O268:R268)</f>
        <v>102.3446</v>
      </c>
      <c r="O268" s="530"/>
      <c r="P268" s="441">
        <f>102344600/1000000</f>
        <v>102.3446</v>
      </c>
      <c r="Q268" s="441"/>
      <c r="R268" s="533"/>
      <c r="S268" s="441">
        <f t="shared" si="193"/>
        <v>102.3446</v>
      </c>
      <c r="T268" s="441"/>
      <c r="U268" s="441">
        <f>102344600/1000000</f>
        <v>102.3446</v>
      </c>
      <c r="V268" s="513"/>
      <c r="W268" s="441"/>
      <c r="X268" s="441">
        <f>SUM(Y268:AB268)</f>
        <v>102.3446</v>
      </c>
      <c r="Y268" s="530"/>
      <c r="Z268" s="441">
        <f>102344600/1000000</f>
        <v>102.3446</v>
      </c>
      <c r="AA268" s="441"/>
      <c r="AB268" s="533"/>
      <c r="AC268" s="441">
        <f>SUM(AD268:AG268)</f>
        <v>102.3446</v>
      </c>
      <c r="AD268" s="530"/>
      <c r="AE268" s="441">
        <f>102344600/1000000</f>
        <v>102.3446</v>
      </c>
      <c r="AF268" s="441"/>
      <c r="AG268" s="533"/>
      <c r="AH268" s="20"/>
    </row>
    <row r="269" spans="1:34" s="344" customFormat="1" ht="18.75">
      <c r="A269" s="346"/>
      <c r="B269" s="347" t="s">
        <v>699</v>
      </c>
      <c r="C269" s="202"/>
      <c r="D269" s="348"/>
      <c r="E269" s="299"/>
      <c r="F269" s="341"/>
      <c r="G269" s="399"/>
      <c r="H269" s="218"/>
      <c r="I269" s="293"/>
      <c r="J269" s="193"/>
      <c r="K269" s="349">
        <f>+SUM(K270:K271)</f>
        <v>154.36699999999999</v>
      </c>
      <c r="L269" s="349">
        <f t="shared" ref="L269:W269" si="194">+SUM(L270:L271)</f>
        <v>0</v>
      </c>
      <c r="M269" s="349">
        <f t="shared" si="194"/>
        <v>0</v>
      </c>
      <c r="N269" s="349">
        <f t="shared" si="194"/>
        <v>48.137</v>
      </c>
      <c r="O269" s="349">
        <f t="shared" si="194"/>
        <v>0</v>
      </c>
      <c r="P269" s="349">
        <f t="shared" si="194"/>
        <v>48.137</v>
      </c>
      <c r="Q269" s="349">
        <f t="shared" si="194"/>
        <v>0</v>
      </c>
      <c r="R269" s="349">
        <f t="shared" si="194"/>
        <v>0</v>
      </c>
      <c r="S269" s="349">
        <f t="shared" si="194"/>
        <v>4.367</v>
      </c>
      <c r="T269" s="349">
        <f t="shared" si="194"/>
        <v>0</v>
      </c>
      <c r="U269" s="349">
        <f t="shared" si="194"/>
        <v>4.367</v>
      </c>
      <c r="V269" s="349">
        <f t="shared" si="194"/>
        <v>0</v>
      </c>
      <c r="W269" s="349">
        <f t="shared" si="194"/>
        <v>0</v>
      </c>
      <c r="X269" s="349">
        <f t="shared" ref="X269:AB269" si="195">+SUM(X270:X271)</f>
        <v>48.137</v>
      </c>
      <c r="Y269" s="349">
        <f t="shared" si="195"/>
        <v>0</v>
      </c>
      <c r="Z269" s="349">
        <f t="shared" si="195"/>
        <v>48.137</v>
      </c>
      <c r="AA269" s="349">
        <f t="shared" si="195"/>
        <v>0</v>
      </c>
      <c r="AB269" s="349">
        <f t="shared" si="195"/>
        <v>0</v>
      </c>
      <c r="AC269" s="349">
        <f t="shared" ref="AC269:AG269" si="196">+SUM(AC270:AC271)</f>
        <v>48.137</v>
      </c>
      <c r="AD269" s="349">
        <f t="shared" si="196"/>
        <v>0</v>
      </c>
      <c r="AE269" s="349">
        <f t="shared" si="196"/>
        <v>48.137</v>
      </c>
      <c r="AF269" s="349">
        <f t="shared" si="196"/>
        <v>0</v>
      </c>
      <c r="AG269" s="349">
        <f t="shared" si="196"/>
        <v>0</v>
      </c>
      <c r="AH269" s="343"/>
    </row>
    <row r="270" spans="1:34" ht="47.25">
      <c r="A270" s="224">
        <v>1</v>
      </c>
      <c r="B270" s="225" t="s">
        <v>567</v>
      </c>
      <c r="C270" s="176" t="s">
        <v>61</v>
      </c>
      <c r="D270" s="227" t="s">
        <v>102</v>
      </c>
      <c r="E270" s="14" t="s">
        <v>42</v>
      </c>
      <c r="F270" s="228">
        <v>8017206</v>
      </c>
      <c r="G270" s="229">
        <v>321</v>
      </c>
      <c r="H270" s="111" t="s">
        <v>591</v>
      </c>
      <c r="I270" s="173" t="s">
        <v>80</v>
      </c>
      <c r="J270" s="109" t="s">
        <v>581</v>
      </c>
      <c r="K270" s="371">
        <v>154.36699999999999</v>
      </c>
      <c r="L270" s="371"/>
      <c r="M270" s="146"/>
      <c r="N270" s="46">
        <f>SUM(O270:R270)</f>
        <v>4.367</v>
      </c>
      <c r="O270" s="146"/>
      <c r="P270" s="146">
        <v>4.367</v>
      </c>
      <c r="Q270" s="151"/>
      <c r="R270" s="146"/>
      <c r="S270" s="146">
        <f>SUM(T270:W270)</f>
        <v>4.367</v>
      </c>
      <c r="T270" s="145"/>
      <c r="U270" s="146">
        <v>4.367</v>
      </c>
      <c r="V270" s="146"/>
      <c r="W270" s="146"/>
      <c r="X270" s="46">
        <f>SUM(Y270:AB270)</f>
        <v>4.367</v>
      </c>
      <c r="Y270" s="146"/>
      <c r="Z270" s="146">
        <v>4.367</v>
      </c>
      <c r="AA270" s="151"/>
      <c r="AB270" s="146"/>
      <c r="AC270" s="46">
        <f>SUM(AD270:AG270)</f>
        <v>4.367</v>
      </c>
      <c r="AD270" s="146"/>
      <c r="AE270" s="146">
        <v>4.367</v>
      </c>
      <c r="AF270" s="151"/>
      <c r="AG270" s="146"/>
      <c r="AH270" s="3"/>
    </row>
    <row r="271" spans="1:34" s="21" customFormat="1">
      <c r="A271" s="531">
        <v>2</v>
      </c>
      <c r="B271" s="531" t="s">
        <v>742</v>
      </c>
      <c r="C271" s="531"/>
      <c r="D271" s="531"/>
      <c r="E271" s="531"/>
      <c r="F271" s="531">
        <v>8016412</v>
      </c>
      <c r="G271" s="531"/>
      <c r="H271" s="531"/>
      <c r="I271" s="531"/>
      <c r="J271" s="531"/>
      <c r="K271" s="531"/>
      <c r="L271" s="531"/>
      <c r="M271" s="531"/>
      <c r="N271" s="441">
        <f t="shared" ref="N271" si="197">SUM(O271:R271)</f>
        <v>43.77</v>
      </c>
      <c r="O271" s="514"/>
      <c r="P271" s="441">
        <f>43770000/1000000</f>
        <v>43.77</v>
      </c>
      <c r="Q271" s="514"/>
      <c r="R271" s="514"/>
      <c r="S271" s="441">
        <f>SUM(T271:W271)</f>
        <v>0</v>
      </c>
      <c r="T271" s="514"/>
      <c r="U271" s="441">
        <v>0</v>
      </c>
      <c r="V271" s="441"/>
      <c r="W271" s="514"/>
      <c r="X271" s="441">
        <f t="shared" ref="X271" si="198">SUM(Y271:AB271)</f>
        <v>43.77</v>
      </c>
      <c r="Y271" s="514"/>
      <c r="Z271" s="441">
        <f>43770000/1000000</f>
        <v>43.77</v>
      </c>
      <c r="AA271" s="514"/>
      <c r="AB271" s="514"/>
      <c r="AC271" s="441">
        <f t="shared" ref="AC271" si="199">SUM(AD271:AG271)</f>
        <v>43.77</v>
      </c>
      <c r="AD271" s="514"/>
      <c r="AE271" s="441">
        <f>43770000/1000000</f>
        <v>43.77</v>
      </c>
      <c r="AF271" s="514"/>
      <c r="AG271" s="514"/>
      <c r="AH271" s="20"/>
    </row>
    <row r="272" spans="1:34" s="273" customFormat="1">
      <c r="A272" s="260">
        <v>-3</v>
      </c>
      <c r="B272" s="266" t="s">
        <v>348</v>
      </c>
      <c r="C272" s="276"/>
      <c r="D272" s="277"/>
      <c r="E272" s="268"/>
      <c r="F272" s="278"/>
      <c r="G272" s="279"/>
      <c r="H272" s="280"/>
      <c r="I272" s="281"/>
      <c r="J272" s="282"/>
      <c r="K272" s="283">
        <f>K273</f>
        <v>67672.034</v>
      </c>
      <c r="L272" s="283">
        <f t="shared" ref="L272:AG272" si="200">L273</f>
        <v>1565.470849</v>
      </c>
      <c r="M272" s="283">
        <f t="shared" si="200"/>
        <v>0</v>
      </c>
      <c r="N272" s="283">
        <f t="shared" si="200"/>
        <v>2697.4650000000001</v>
      </c>
      <c r="O272" s="283">
        <f t="shared" si="200"/>
        <v>2695.9270000000001</v>
      </c>
      <c r="P272" s="283">
        <f t="shared" si="200"/>
        <v>1.538</v>
      </c>
      <c r="Q272" s="283">
        <f t="shared" si="200"/>
        <v>0</v>
      </c>
      <c r="R272" s="283">
        <f t="shared" si="200"/>
        <v>0</v>
      </c>
      <c r="S272" s="283">
        <f t="shared" si="200"/>
        <v>1942.45</v>
      </c>
      <c r="T272" s="283">
        <f t="shared" si="200"/>
        <v>1940.912</v>
      </c>
      <c r="U272" s="283">
        <f t="shared" si="200"/>
        <v>1.538</v>
      </c>
      <c r="V272" s="283">
        <f t="shared" si="200"/>
        <v>0</v>
      </c>
      <c r="W272" s="283">
        <f t="shared" si="200"/>
        <v>0</v>
      </c>
      <c r="X272" s="283">
        <f t="shared" si="200"/>
        <v>2697.4650000000001</v>
      </c>
      <c r="Y272" s="283">
        <f t="shared" si="200"/>
        <v>2695.9270000000001</v>
      </c>
      <c r="Z272" s="283">
        <f t="shared" si="200"/>
        <v>1.538</v>
      </c>
      <c r="AA272" s="283">
        <f t="shared" si="200"/>
        <v>0</v>
      </c>
      <c r="AB272" s="283">
        <f t="shared" si="200"/>
        <v>0</v>
      </c>
      <c r="AC272" s="283">
        <f t="shared" si="200"/>
        <v>2697.4650000000001</v>
      </c>
      <c r="AD272" s="283">
        <f t="shared" si="200"/>
        <v>2695.9270000000001</v>
      </c>
      <c r="AE272" s="283">
        <f t="shared" si="200"/>
        <v>1.538</v>
      </c>
      <c r="AF272" s="283">
        <f t="shared" si="200"/>
        <v>0</v>
      </c>
      <c r="AG272" s="283">
        <f t="shared" si="200"/>
        <v>0</v>
      </c>
      <c r="AH272" s="272"/>
    </row>
    <row r="273" spans="1:34" s="39" customFormat="1">
      <c r="A273" s="309"/>
      <c r="B273" s="310" t="s">
        <v>349</v>
      </c>
      <c r="C273" s="311"/>
      <c r="D273" s="32"/>
      <c r="E273" s="32"/>
      <c r="F273" s="312"/>
      <c r="G273" s="313"/>
      <c r="H273" s="314"/>
      <c r="I273" s="315"/>
      <c r="J273" s="316"/>
      <c r="K273" s="317">
        <f>SUM(K274:K276)</f>
        <v>67672.034</v>
      </c>
      <c r="L273" s="317">
        <f t="shared" ref="L273:W273" si="201">SUM(L274:L276)</f>
        <v>1565.470849</v>
      </c>
      <c r="M273" s="317">
        <f t="shared" si="201"/>
        <v>0</v>
      </c>
      <c r="N273" s="317">
        <f t="shared" si="201"/>
        <v>2697.4650000000001</v>
      </c>
      <c r="O273" s="317">
        <f t="shared" si="201"/>
        <v>2695.9270000000001</v>
      </c>
      <c r="P273" s="317">
        <f t="shared" si="201"/>
        <v>1.538</v>
      </c>
      <c r="Q273" s="317">
        <f t="shared" si="201"/>
        <v>0</v>
      </c>
      <c r="R273" s="317">
        <f t="shared" si="201"/>
        <v>0</v>
      </c>
      <c r="S273" s="317">
        <f t="shared" si="201"/>
        <v>1942.45</v>
      </c>
      <c r="T273" s="317">
        <f t="shared" si="201"/>
        <v>1940.912</v>
      </c>
      <c r="U273" s="317">
        <f t="shared" si="201"/>
        <v>1.538</v>
      </c>
      <c r="V273" s="317">
        <f t="shared" si="201"/>
        <v>0</v>
      </c>
      <c r="W273" s="317">
        <f t="shared" si="201"/>
        <v>0</v>
      </c>
      <c r="X273" s="317">
        <f t="shared" ref="X273:AB273" si="202">SUM(X274:X276)</f>
        <v>2697.4650000000001</v>
      </c>
      <c r="Y273" s="317">
        <f t="shared" si="202"/>
        <v>2695.9270000000001</v>
      </c>
      <c r="Z273" s="317">
        <f t="shared" si="202"/>
        <v>1.538</v>
      </c>
      <c r="AA273" s="317">
        <f t="shared" si="202"/>
        <v>0</v>
      </c>
      <c r="AB273" s="317">
        <f t="shared" si="202"/>
        <v>0</v>
      </c>
      <c r="AC273" s="317">
        <f t="shared" ref="AC273:AG273" si="203">SUM(AC274:AC276)</f>
        <v>2697.4650000000001</v>
      </c>
      <c r="AD273" s="317">
        <f t="shared" si="203"/>
        <v>2695.9270000000001</v>
      </c>
      <c r="AE273" s="317">
        <f t="shared" si="203"/>
        <v>1.538</v>
      </c>
      <c r="AF273" s="317">
        <f t="shared" si="203"/>
        <v>0</v>
      </c>
      <c r="AG273" s="317">
        <f t="shared" si="203"/>
        <v>0</v>
      </c>
      <c r="AH273" s="318"/>
    </row>
    <row r="274" spans="1:34" ht="90">
      <c r="A274" s="136">
        <v>1</v>
      </c>
      <c r="B274" s="144" t="s">
        <v>350</v>
      </c>
      <c r="C274" s="534" t="s">
        <v>61</v>
      </c>
      <c r="D274" s="142" t="s">
        <v>66</v>
      </c>
      <c r="E274" s="142" t="s">
        <v>42</v>
      </c>
      <c r="F274" s="192">
        <v>7921842</v>
      </c>
      <c r="G274" s="114">
        <v>341</v>
      </c>
      <c r="H274" s="535" t="s">
        <v>408</v>
      </c>
      <c r="I274" s="173" t="s">
        <v>48</v>
      </c>
      <c r="J274" s="180" t="s">
        <v>478</v>
      </c>
      <c r="K274" s="46">
        <v>14989</v>
      </c>
      <c r="L274" s="536">
        <v>49</v>
      </c>
      <c r="M274" s="146"/>
      <c r="N274" s="46">
        <f>SUM(O274:R274)</f>
        <v>1141.538</v>
      </c>
      <c r="O274" s="365">
        <v>1140</v>
      </c>
      <c r="P274" s="537">
        <f>1538000/1000000</f>
        <v>1.538</v>
      </c>
      <c r="Q274" s="441"/>
      <c r="R274" s="139"/>
      <c r="S274" s="146">
        <f>SUM(T274:W274)</f>
        <v>1141.538</v>
      </c>
      <c r="T274" s="365">
        <v>1140</v>
      </c>
      <c r="U274" s="537">
        <f>1538000/1000000</f>
        <v>1.538</v>
      </c>
      <c r="V274" s="450"/>
      <c r="W274" s="146"/>
      <c r="X274" s="46">
        <f>SUM(Y274:AB274)</f>
        <v>1141.538</v>
      </c>
      <c r="Y274" s="365">
        <v>1140</v>
      </c>
      <c r="Z274" s="537">
        <f>1538000/1000000</f>
        <v>1.538</v>
      </c>
      <c r="AA274" s="441"/>
      <c r="AB274" s="139"/>
      <c r="AC274" s="46">
        <f>SUM(AD274:AG274)</f>
        <v>1141.538</v>
      </c>
      <c r="AD274" s="365">
        <v>1140</v>
      </c>
      <c r="AE274" s="537">
        <f>1538000/1000000</f>
        <v>1.538</v>
      </c>
      <c r="AF274" s="441"/>
      <c r="AG274" s="139"/>
      <c r="AH274" s="3"/>
    </row>
    <row r="275" spans="1:34" ht="110.25">
      <c r="A275" s="136">
        <v>2</v>
      </c>
      <c r="B275" s="144" t="s">
        <v>351</v>
      </c>
      <c r="C275" s="534" t="s">
        <v>61</v>
      </c>
      <c r="D275" s="142" t="s">
        <v>445</v>
      </c>
      <c r="E275" s="142" t="s">
        <v>42</v>
      </c>
      <c r="F275" s="192">
        <v>7922606</v>
      </c>
      <c r="G275" s="114">
        <v>292</v>
      </c>
      <c r="H275" s="535" t="s">
        <v>409</v>
      </c>
      <c r="I275" s="173" t="s">
        <v>48</v>
      </c>
      <c r="J275" s="180" t="s">
        <v>479</v>
      </c>
      <c r="K275" s="46">
        <v>32625.034</v>
      </c>
      <c r="L275" s="536">
        <v>546.47084900000004</v>
      </c>
      <c r="M275" s="146"/>
      <c r="N275" s="46">
        <f t="shared" ref="N275:N276" si="204">SUM(O275:R275)</f>
        <v>855.92700000000002</v>
      </c>
      <c r="O275" s="537">
        <f>855927000/1000000</f>
        <v>855.92700000000002</v>
      </c>
      <c r="P275" s="533"/>
      <c r="Q275" s="441"/>
      <c r="R275" s="139"/>
      <c r="S275" s="146">
        <f t="shared" ref="S275:S276" si="205">SUM(T275:W275)</f>
        <v>800.91200000000003</v>
      </c>
      <c r="T275" s="365">
        <f>800912000/1000000</f>
        <v>800.91200000000003</v>
      </c>
      <c r="U275" s="441"/>
      <c r="V275" s="441"/>
      <c r="W275" s="146"/>
      <c r="X275" s="46">
        <f t="shared" ref="X275:X276" si="206">SUM(Y275:AB275)</f>
        <v>855.92700000000002</v>
      </c>
      <c r="Y275" s="537">
        <f>855927000/1000000</f>
        <v>855.92700000000002</v>
      </c>
      <c r="Z275" s="533"/>
      <c r="AA275" s="441"/>
      <c r="AB275" s="139"/>
      <c r="AC275" s="46">
        <f t="shared" ref="AC275:AC276" si="207">SUM(AD275:AG275)</f>
        <v>855.92700000000002</v>
      </c>
      <c r="AD275" s="537">
        <f>855927000/1000000</f>
        <v>855.92700000000002</v>
      </c>
      <c r="AE275" s="533"/>
      <c r="AF275" s="441"/>
      <c r="AG275" s="139"/>
      <c r="AH275" s="3"/>
    </row>
    <row r="276" spans="1:34" ht="63">
      <c r="A276" s="136">
        <v>3</v>
      </c>
      <c r="B276" s="144" t="s">
        <v>71</v>
      </c>
      <c r="C276" s="534" t="s">
        <v>61</v>
      </c>
      <c r="D276" s="142" t="s">
        <v>277</v>
      </c>
      <c r="E276" s="142" t="s">
        <v>42</v>
      </c>
      <c r="F276" s="192">
        <v>7917536</v>
      </c>
      <c r="G276" s="114">
        <v>292</v>
      </c>
      <c r="H276" s="535" t="s">
        <v>73</v>
      </c>
      <c r="I276" s="173" t="s">
        <v>48</v>
      </c>
      <c r="J276" s="180" t="s">
        <v>72</v>
      </c>
      <c r="K276" s="46">
        <v>20058</v>
      </c>
      <c r="L276" s="536">
        <v>970</v>
      </c>
      <c r="M276" s="146"/>
      <c r="N276" s="46">
        <f t="shared" si="204"/>
        <v>700</v>
      </c>
      <c r="O276" s="533">
        <v>700</v>
      </c>
      <c r="P276" s="533"/>
      <c r="Q276" s="441"/>
      <c r="R276" s="441"/>
      <c r="S276" s="146">
        <f t="shared" si="205"/>
        <v>0</v>
      </c>
      <c r="T276" s="441"/>
      <c r="U276" s="457"/>
      <c r="V276" s="457"/>
      <c r="W276" s="146"/>
      <c r="X276" s="46">
        <f t="shared" si="206"/>
        <v>700</v>
      </c>
      <c r="Y276" s="533">
        <v>700</v>
      </c>
      <c r="Z276" s="533"/>
      <c r="AA276" s="441"/>
      <c r="AB276" s="441"/>
      <c r="AC276" s="46">
        <f t="shared" si="207"/>
        <v>700</v>
      </c>
      <c r="AD276" s="533">
        <v>700</v>
      </c>
      <c r="AE276" s="533"/>
      <c r="AF276" s="441"/>
      <c r="AG276" s="441"/>
      <c r="AH276" s="3"/>
    </row>
    <row r="277" spans="1:34" s="344" customFormat="1" ht="31.5">
      <c r="A277" s="389">
        <v>-4</v>
      </c>
      <c r="B277" s="390" t="s">
        <v>600</v>
      </c>
      <c r="C277" s="391"/>
      <c r="D277" s="392"/>
      <c r="E277" s="392"/>
      <c r="F277" s="393"/>
      <c r="G277" s="394"/>
      <c r="H277" s="395"/>
      <c r="I277" s="396"/>
      <c r="J277" s="397"/>
      <c r="K277" s="350">
        <f>K278</f>
        <v>6070.3680000000004</v>
      </c>
      <c r="L277" s="350">
        <f t="shared" ref="L277:AG277" si="208">L278</f>
        <v>0</v>
      </c>
      <c r="M277" s="350">
        <f t="shared" si="208"/>
        <v>0</v>
      </c>
      <c r="N277" s="350">
        <f t="shared" si="208"/>
        <v>1019.207</v>
      </c>
      <c r="O277" s="350">
        <f t="shared" si="208"/>
        <v>0</v>
      </c>
      <c r="P277" s="350">
        <f t="shared" si="208"/>
        <v>1019.207</v>
      </c>
      <c r="Q277" s="350">
        <f t="shared" si="208"/>
        <v>0</v>
      </c>
      <c r="R277" s="350">
        <f t="shared" si="208"/>
        <v>0</v>
      </c>
      <c r="S277" s="350">
        <f t="shared" si="208"/>
        <v>1019.207</v>
      </c>
      <c r="T277" s="350">
        <f t="shared" si="208"/>
        <v>0</v>
      </c>
      <c r="U277" s="350">
        <f t="shared" si="208"/>
        <v>1019.207</v>
      </c>
      <c r="V277" s="350">
        <f t="shared" si="208"/>
        <v>0</v>
      </c>
      <c r="W277" s="350">
        <f t="shared" si="208"/>
        <v>0</v>
      </c>
      <c r="X277" s="350">
        <f t="shared" si="208"/>
        <v>1019.207</v>
      </c>
      <c r="Y277" s="350">
        <f t="shared" si="208"/>
        <v>0</v>
      </c>
      <c r="Z277" s="350">
        <f t="shared" si="208"/>
        <v>1019.207</v>
      </c>
      <c r="AA277" s="350">
        <f t="shared" si="208"/>
        <v>0</v>
      </c>
      <c r="AB277" s="350">
        <f t="shared" si="208"/>
        <v>0</v>
      </c>
      <c r="AC277" s="350">
        <f t="shared" si="208"/>
        <v>1019.207</v>
      </c>
      <c r="AD277" s="350">
        <f t="shared" si="208"/>
        <v>0</v>
      </c>
      <c r="AE277" s="350">
        <f t="shared" si="208"/>
        <v>1019.207</v>
      </c>
      <c r="AF277" s="350">
        <f t="shared" si="208"/>
        <v>0</v>
      </c>
      <c r="AG277" s="350">
        <f t="shared" si="208"/>
        <v>0</v>
      </c>
      <c r="AH277" s="351"/>
    </row>
    <row r="278" spans="1:34" s="39" customFormat="1">
      <c r="A278" s="309"/>
      <c r="B278" s="310" t="s">
        <v>349</v>
      </c>
      <c r="C278" s="311"/>
      <c r="D278" s="32"/>
      <c r="E278" s="32"/>
      <c r="F278" s="312"/>
      <c r="G278" s="313"/>
      <c r="H278" s="314"/>
      <c r="I278" s="315"/>
      <c r="J278" s="316"/>
      <c r="K278" s="317">
        <f>SUM(K279:K283)</f>
        <v>6070.3680000000004</v>
      </c>
      <c r="L278" s="317">
        <f t="shared" ref="L278:W278" si="209">SUM(L279:L283)</f>
        <v>0</v>
      </c>
      <c r="M278" s="317">
        <f t="shared" si="209"/>
        <v>0</v>
      </c>
      <c r="N278" s="317">
        <f t="shared" si="209"/>
        <v>1019.207</v>
      </c>
      <c r="O278" s="317">
        <f t="shared" si="209"/>
        <v>0</v>
      </c>
      <c r="P278" s="317">
        <f t="shared" si="209"/>
        <v>1019.207</v>
      </c>
      <c r="Q278" s="317">
        <f t="shared" si="209"/>
        <v>0</v>
      </c>
      <c r="R278" s="317">
        <f t="shared" si="209"/>
        <v>0</v>
      </c>
      <c r="S278" s="317">
        <f t="shared" si="209"/>
        <v>1019.207</v>
      </c>
      <c r="T278" s="317">
        <f t="shared" si="209"/>
        <v>0</v>
      </c>
      <c r="U278" s="317">
        <f t="shared" si="209"/>
        <v>1019.207</v>
      </c>
      <c r="V278" s="317">
        <f t="shared" si="209"/>
        <v>0</v>
      </c>
      <c r="W278" s="317">
        <f t="shared" si="209"/>
        <v>0</v>
      </c>
      <c r="X278" s="317">
        <f t="shared" ref="X278:AB278" si="210">SUM(X279:X283)</f>
        <v>1019.207</v>
      </c>
      <c r="Y278" s="317">
        <f t="shared" si="210"/>
        <v>0</v>
      </c>
      <c r="Z278" s="317">
        <f t="shared" si="210"/>
        <v>1019.207</v>
      </c>
      <c r="AA278" s="317">
        <f t="shared" si="210"/>
        <v>0</v>
      </c>
      <c r="AB278" s="317">
        <f t="shared" si="210"/>
        <v>0</v>
      </c>
      <c r="AC278" s="317">
        <f t="shared" ref="AC278:AG278" si="211">SUM(AC279:AC283)</f>
        <v>1019.207</v>
      </c>
      <c r="AD278" s="317">
        <f t="shared" si="211"/>
        <v>0</v>
      </c>
      <c r="AE278" s="317">
        <f t="shared" si="211"/>
        <v>1019.207</v>
      </c>
      <c r="AF278" s="317">
        <f t="shared" si="211"/>
        <v>0</v>
      </c>
      <c r="AG278" s="317">
        <f t="shared" si="211"/>
        <v>0</v>
      </c>
      <c r="AH278" s="318"/>
    </row>
    <row r="279" spans="1:34" ht="52.5" customHeight="1">
      <c r="A279" s="136">
        <v>1</v>
      </c>
      <c r="B279" s="144" t="s">
        <v>695</v>
      </c>
      <c r="C279" s="534"/>
      <c r="D279" s="142"/>
      <c r="E279" s="142"/>
      <c r="F279" s="192">
        <v>7989026</v>
      </c>
      <c r="G279" s="114"/>
      <c r="H279" s="535"/>
      <c r="I279" s="173"/>
      <c r="J279" s="180"/>
      <c r="K279" s="46"/>
      <c r="L279" s="536"/>
      <c r="M279" s="146"/>
      <c r="N279" s="46">
        <f>SUM(O279:R279)</f>
        <v>763.13199999999995</v>
      </c>
      <c r="O279" s="533"/>
      <c r="P279" s="537">
        <f>763132000/1000000</f>
        <v>763.13199999999995</v>
      </c>
      <c r="Q279" s="441"/>
      <c r="R279" s="441"/>
      <c r="S279" s="146">
        <f>SUM(T279:W279)</f>
        <v>763.13199999999995</v>
      </c>
      <c r="T279" s="441"/>
      <c r="U279" s="537">
        <f>763132000/1000000</f>
        <v>763.13199999999995</v>
      </c>
      <c r="V279" s="457"/>
      <c r="W279" s="146"/>
      <c r="X279" s="46">
        <f>SUM(Y279:AB279)</f>
        <v>763.13199999999995</v>
      </c>
      <c r="Y279" s="533"/>
      <c r="Z279" s="537">
        <f>763132000/1000000</f>
        <v>763.13199999999995</v>
      </c>
      <c r="AA279" s="441"/>
      <c r="AB279" s="441"/>
      <c r="AC279" s="46">
        <f>SUM(AD279:AG279)</f>
        <v>763.13199999999995</v>
      </c>
      <c r="AD279" s="533"/>
      <c r="AE279" s="537">
        <f>763132000/1000000</f>
        <v>763.13199999999995</v>
      </c>
      <c r="AF279" s="441"/>
      <c r="AG279" s="441"/>
      <c r="AH279" s="3"/>
    </row>
    <row r="280" spans="1:34" ht="52.5" customHeight="1">
      <c r="A280" s="136">
        <v>2</v>
      </c>
      <c r="B280" s="144" t="s">
        <v>593</v>
      </c>
      <c r="C280" s="534" t="s">
        <v>61</v>
      </c>
      <c r="D280" s="142" t="s">
        <v>595</v>
      </c>
      <c r="E280" s="142" t="s">
        <v>42</v>
      </c>
      <c r="F280" s="192">
        <v>7989028</v>
      </c>
      <c r="G280" s="114">
        <v>292</v>
      </c>
      <c r="H280" s="535" t="s">
        <v>596</v>
      </c>
      <c r="I280" s="173" t="s">
        <v>80</v>
      </c>
      <c r="J280" s="180" t="s">
        <v>598</v>
      </c>
      <c r="K280" s="46">
        <v>581.85500000000002</v>
      </c>
      <c r="L280" s="536"/>
      <c r="M280" s="146"/>
      <c r="N280" s="46">
        <f t="shared" ref="N280:N281" si="212">SUM(O280:R280)</f>
        <v>3.2970000000000002</v>
      </c>
      <c r="O280" s="533"/>
      <c r="P280" s="537">
        <f>3297000/1000000</f>
        <v>3.2970000000000002</v>
      </c>
      <c r="Q280" s="441"/>
      <c r="R280" s="441"/>
      <c r="S280" s="146">
        <f t="shared" ref="S280:S283" si="213">SUM(T280:W280)</f>
        <v>3.2970000000000002</v>
      </c>
      <c r="T280" s="441"/>
      <c r="U280" s="537">
        <f>3297000/1000000</f>
        <v>3.2970000000000002</v>
      </c>
      <c r="V280" s="457"/>
      <c r="W280" s="146"/>
      <c r="X280" s="46">
        <f t="shared" ref="X280:X281" si="214">SUM(Y280:AB280)</f>
        <v>3.2970000000000002</v>
      </c>
      <c r="Y280" s="533"/>
      <c r="Z280" s="537">
        <f>3297000/1000000</f>
        <v>3.2970000000000002</v>
      </c>
      <c r="AA280" s="441"/>
      <c r="AB280" s="441"/>
      <c r="AC280" s="46">
        <f t="shared" ref="AC280:AC281" si="215">SUM(AD280:AG280)</f>
        <v>3.2970000000000002</v>
      </c>
      <c r="AD280" s="533"/>
      <c r="AE280" s="537">
        <f>3297000/1000000</f>
        <v>3.2970000000000002</v>
      </c>
      <c r="AF280" s="441"/>
      <c r="AG280" s="441"/>
      <c r="AH280" s="3"/>
    </row>
    <row r="281" spans="1:34" ht="52.5" customHeight="1">
      <c r="A281" s="136">
        <v>3</v>
      </c>
      <c r="B281" s="144" t="s">
        <v>594</v>
      </c>
      <c r="C281" s="534" t="s">
        <v>61</v>
      </c>
      <c r="D281" s="142" t="s">
        <v>595</v>
      </c>
      <c r="E281" s="142" t="s">
        <v>52</v>
      </c>
      <c r="F281" s="192">
        <v>7940592</v>
      </c>
      <c r="G281" s="114">
        <v>292</v>
      </c>
      <c r="H281" s="535" t="s">
        <v>597</v>
      </c>
      <c r="I281" s="173" t="s">
        <v>48</v>
      </c>
      <c r="J281" s="180" t="s">
        <v>599</v>
      </c>
      <c r="K281" s="46">
        <v>5488.5129999999999</v>
      </c>
      <c r="L281" s="536"/>
      <c r="M281" s="146"/>
      <c r="N281" s="46">
        <f t="shared" si="212"/>
        <v>30.210999999999999</v>
      </c>
      <c r="O281" s="533"/>
      <c r="P281" s="537">
        <f>30211000/1000000</f>
        <v>30.210999999999999</v>
      </c>
      <c r="Q281" s="441"/>
      <c r="R281" s="441"/>
      <c r="S281" s="146">
        <f t="shared" si="213"/>
        <v>30.210999999999999</v>
      </c>
      <c r="T281" s="441"/>
      <c r="U281" s="537">
        <f>30211000/1000000</f>
        <v>30.210999999999999</v>
      </c>
      <c r="V281" s="457"/>
      <c r="W281" s="146"/>
      <c r="X281" s="46">
        <f t="shared" si="214"/>
        <v>30.210999999999999</v>
      </c>
      <c r="Y281" s="533"/>
      <c r="Z281" s="537">
        <f>30211000/1000000</f>
        <v>30.210999999999999</v>
      </c>
      <c r="AA281" s="441"/>
      <c r="AB281" s="441"/>
      <c r="AC281" s="46">
        <f t="shared" si="215"/>
        <v>30.210999999999999</v>
      </c>
      <c r="AD281" s="533"/>
      <c r="AE281" s="537">
        <f>30211000/1000000</f>
        <v>30.210999999999999</v>
      </c>
      <c r="AF281" s="441"/>
      <c r="AG281" s="441"/>
      <c r="AH281" s="3"/>
    </row>
    <row r="282" spans="1:34" ht="52.5" customHeight="1">
      <c r="A282" s="136">
        <v>4</v>
      </c>
      <c r="B282" s="144" t="s">
        <v>700</v>
      </c>
      <c r="C282" s="534"/>
      <c r="D282" s="142"/>
      <c r="E282" s="142"/>
      <c r="F282" s="192">
        <v>7873620</v>
      </c>
      <c r="G282" s="114"/>
      <c r="H282" s="535"/>
      <c r="I282" s="173"/>
      <c r="J282" s="180"/>
      <c r="K282" s="46"/>
      <c r="L282" s="536"/>
      <c r="M282" s="146"/>
      <c r="N282" s="46">
        <f>SUM(O282:R282)</f>
        <v>69.453000000000003</v>
      </c>
      <c r="O282" s="533"/>
      <c r="P282" s="537">
        <f>69453000/1000000</f>
        <v>69.453000000000003</v>
      </c>
      <c r="Q282" s="441"/>
      <c r="R282" s="441"/>
      <c r="S282" s="146">
        <f t="shared" si="213"/>
        <v>69.453000000000003</v>
      </c>
      <c r="T282" s="441"/>
      <c r="U282" s="537">
        <f>69453000/1000000</f>
        <v>69.453000000000003</v>
      </c>
      <c r="V282" s="457"/>
      <c r="W282" s="146"/>
      <c r="X282" s="46">
        <f>SUM(Y282:AB282)</f>
        <v>69.453000000000003</v>
      </c>
      <c r="Y282" s="533"/>
      <c r="Z282" s="537">
        <f>69453000/1000000</f>
        <v>69.453000000000003</v>
      </c>
      <c r="AA282" s="441"/>
      <c r="AB282" s="441"/>
      <c r="AC282" s="46">
        <f>SUM(AD282:AG282)</f>
        <v>69.453000000000003</v>
      </c>
      <c r="AD282" s="533"/>
      <c r="AE282" s="537">
        <f>69453000/1000000</f>
        <v>69.453000000000003</v>
      </c>
      <c r="AF282" s="441"/>
      <c r="AG282" s="441"/>
      <c r="AH282" s="3"/>
    </row>
    <row r="283" spans="1:34" ht="52.5" customHeight="1">
      <c r="A283" s="136">
        <v>5</v>
      </c>
      <c r="B283" s="144" t="s">
        <v>743</v>
      </c>
      <c r="C283" s="534" t="s">
        <v>61</v>
      </c>
      <c r="D283" s="142" t="s">
        <v>595</v>
      </c>
      <c r="E283" s="142"/>
      <c r="F283" s="192"/>
      <c r="G283" s="114"/>
      <c r="H283" s="535"/>
      <c r="I283" s="173"/>
      <c r="J283" s="180"/>
      <c r="K283" s="46"/>
      <c r="L283" s="536"/>
      <c r="M283" s="146"/>
      <c r="N283" s="46">
        <f>SUM(O283:R283)</f>
        <v>153.114</v>
      </c>
      <c r="O283" s="533"/>
      <c r="P283" s="537">
        <f>153114000/1000000</f>
        <v>153.114</v>
      </c>
      <c r="Q283" s="441"/>
      <c r="R283" s="441"/>
      <c r="S283" s="146">
        <f t="shared" si="213"/>
        <v>153.114</v>
      </c>
      <c r="T283" s="441"/>
      <c r="U283" s="537">
        <f>153114000/1000000</f>
        <v>153.114</v>
      </c>
      <c r="V283" s="457"/>
      <c r="W283" s="146"/>
      <c r="X283" s="46">
        <f>SUM(Y283:AB283)</f>
        <v>153.114</v>
      </c>
      <c r="Y283" s="533"/>
      <c r="Z283" s="537">
        <f>153114000/1000000</f>
        <v>153.114</v>
      </c>
      <c r="AA283" s="441"/>
      <c r="AB283" s="441"/>
      <c r="AC283" s="46">
        <f>SUM(AD283:AG283)</f>
        <v>153.114</v>
      </c>
      <c r="AD283" s="533"/>
      <c r="AE283" s="537">
        <f>153114000/1000000</f>
        <v>153.114</v>
      </c>
      <c r="AF283" s="441"/>
      <c r="AG283" s="441"/>
      <c r="AH283" s="3"/>
    </row>
    <row r="284" spans="1:34" s="253" customFormat="1" ht="26.25" customHeight="1">
      <c r="A284" s="260">
        <v>-5</v>
      </c>
      <c r="B284" s="245" t="s">
        <v>352</v>
      </c>
      <c r="C284" s="246"/>
      <c r="D284" s="247"/>
      <c r="E284" s="247"/>
      <c r="F284" s="248"/>
      <c r="G284" s="249"/>
      <c r="H284" s="246"/>
      <c r="I284" s="174"/>
      <c r="J284" s="149"/>
      <c r="K284" s="243">
        <f>K285</f>
        <v>25249.822</v>
      </c>
      <c r="L284" s="243">
        <f t="shared" ref="L284:AH284" si="216">L285</f>
        <v>743.209202</v>
      </c>
      <c r="M284" s="243">
        <f t="shared" si="216"/>
        <v>0</v>
      </c>
      <c r="N284" s="243">
        <f t="shared" si="216"/>
        <v>3859.4560000000001</v>
      </c>
      <c r="O284" s="243">
        <f t="shared" si="216"/>
        <v>3230.9810000000002</v>
      </c>
      <c r="P284" s="243">
        <f t="shared" si="216"/>
        <v>628.47500000000002</v>
      </c>
      <c r="Q284" s="243">
        <f t="shared" si="216"/>
        <v>0</v>
      </c>
      <c r="R284" s="243">
        <f t="shared" si="216"/>
        <v>0</v>
      </c>
      <c r="S284" s="243">
        <f t="shared" si="216"/>
        <v>3593.2</v>
      </c>
      <c r="T284" s="243">
        <f t="shared" si="216"/>
        <v>2982.7</v>
      </c>
      <c r="U284" s="243">
        <f t="shared" si="216"/>
        <v>610.5</v>
      </c>
      <c r="V284" s="243">
        <f t="shared" si="216"/>
        <v>0</v>
      </c>
      <c r="W284" s="243">
        <f t="shared" si="216"/>
        <v>0</v>
      </c>
      <c r="X284" s="243">
        <f t="shared" si="216"/>
        <v>3859.4560000000001</v>
      </c>
      <c r="Y284" s="243">
        <f t="shared" si="216"/>
        <v>3230.9810000000002</v>
      </c>
      <c r="Z284" s="243">
        <f t="shared" si="216"/>
        <v>628.47500000000002</v>
      </c>
      <c r="AA284" s="243">
        <f t="shared" si="216"/>
        <v>0</v>
      </c>
      <c r="AB284" s="243">
        <f t="shared" si="216"/>
        <v>0</v>
      </c>
      <c r="AC284" s="243">
        <f t="shared" si="216"/>
        <v>3859.4560000000001</v>
      </c>
      <c r="AD284" s="243">
        <f t="shared" si="216"/>
        <v>3230.9810000000002</v>
      </c>
      <c r="AE284" s="243">
        <f t="shared" si="216"/>
        <v>628.47500000000002</v>
      </c>
      <c r="AF284" s="243">
        <f t="shared" si="216"/>
        <v>0</v>
      </c>
      <c r="AG284" s="243">
        <f t="shared" si="216"/>
        <v>0</v>
      </c>
      <c r="AH284" s="243">
        <f t="shared" si="216"/>
        <v>0</v>
      </c>
    </row>
    <row r="285" spans="1:34" s="327" customFormat="1">
      <c r="A285" s="320"/>
      <c r="B285" s="321" t="s">
        <v>349</v>
      </c>
      <c r="C285" s="322"/>
      <c r="D285" s="323"/>
      <c r="E285" s="323"/>
      <c r="F285" s="324"/>
      <c r="G285" s="325"/>
      <c r="H285" s="322"/>
      <c r="I285" s="319"/>
      <c r="J285" s="316"/>
      <c r="K285" s="326">
        <f>+SUM(K286:K293)</f>
        <v>25249.822</v>
      </c>
      <c r="L285" s="326">
        <f t="shared" ref="L285:AH285" si="217">+SUM(L286:L293)</f>
        <v>743.209202</v>
      </c>
      <c r="M285" s="326">
        <f t="shared" si="217"/>
        <v>0</v>
      </c>
      <c r="N285" s="326">
        <f t="shared" si="217"/>
        <v>3859.4560000000001</v>
      </c>
      <c r="O285" s="326">
        <f t="shared" si="217"/>
        <v>3230.9810000000002</v>
      </c>
      <c r="P285" s="326">
        <f t="shared" si="217"/>
        <v>628.47500000000002</v>
      </c>
      <c r="Q285" s="326">
        <f t="shared" si="217"/>
        <v>0</v>
      </c>
      <c r="R285" s="326">
        <f t="shared" si="217"/>
        <v>0</v>
      </c>
      <c r="S285" s="326">
        <f t="shared" si="217"/>
        <v>3593.2</v>
      </c>
      <c r="T285" s="326">
        <f t="shared" si="217"/>
        <v>2982.7</v>
      </c>
      <c r="U285" s="326">
        <f t="shared" si="217"/>
        <v>610.5</v>
      </c>
      <c r="V285" s="326">
        <f t="shared" si="217"/>
        <v>0</v>
      </c>
      <c r="W285" s="326">
        <f t="shared" si="217"/>
        <v>0</v>
      </c>
      <c r="X285" s="326">
        <f t="shared" ref="X285:AB285" si="218">+SUM(X286:X293)</f>
        <v>3859.4560000000001</v>
      </c>
      <c r="Y285" s="326">
        <f t="shared" si="218"/>
        <v>3230.9810000000002</v>
      </c>
      <c r="Z285" s="326">
        <f t="shared" si="218"/>
        <v>628.47500000000002</v>
      </c>
      <c r="AA285" s="326">
        <f t="shared" si="218"/>
        <v>0</v>
      </c>
      <c r="AB285" s="326">
        <f t="shared" si="218"/>
        <v>0</v>
      </c>
      <c r="AC285" s="326">
        <f t="shared" ref="AC285:AG285" si="219">+SUM(AC286:AC293)</f>
        <v>3859.4560000000001</v>
      </c>
      <c r="AD285" s="326">
        <f t="shared" si="219"/>
        <v>3230.9810000000002</v>
      </c>
      <c r="AE285" s="326">
        <f t="shared" si="219"/>
        <v>628.47500000000002</v>
      </c>
      <c r="AF285" s="326">
        <f t="shared" si="219"/>
        <v>0</v>
      </c>
      <c r="AG285" s="326">
        <f t="shared" si="219"/>
        <v>0</v>
      </c>
      <c r="AH285" s="326">
        <f t="shared" si="217"/>
        <v>0</v>
      </c>
    </row>
    <row r="286" spans="1:34" ht="60">
      <c r="A286" s="136">
        <v>1</v>
      </c>
      <c r="B286" s="144" t="s">
        <v>353</v>
      </c>
      <c r="C286" s="534" t="s">
        <v>133</v>
      </c>
      <c r="D286" s="142" t="s">
        <v>446</v>
      </c>
      <c r="E286" s="142" t="s">
        <v>42</v>
      </c>
      <c r="F286" s="192">
        <v>7984289</v>
      </c>
      <c r="G286" s="114">
        <v>41</v>
      </c>
      <c r="H286" s="535" t="s">
        <v>296</v>
      </c>
      <c r="I286" s="173" t="s">
        <v>153</v>
      </c>
      <c r="J286" s="180" t="s">
        <v>480</v>
      </c>
      <c r="K286" s="46">
        <v>3171.1979999999999</v>
      </c>
      <c r="L286" s="536">
        <v>21.964171</v>
      </c>
      <c r="M286" s="146"/>
      <c r="N286" s="46">
        <f>SUM(O286:R286)</f>
        <v>560</v>
      </c>
      <c r="O286" s="533">
        <v>450</v>
      </c>
      <c r="P286" s="533">
        <v>110</v>
      </c>
      <c r="Q286" s="441"/>
      <c r="R286" s="441"/>
      <c r="S286" s="146">
        <f t="shared" ref="S286:S293" si="220">SUM(T286:W286)</f>
        <v>555.25700000000006</v>
      </c>
      <c r="T286" s="441">
        <v>450</v>
      </c>
      <c r="U286" s="369">
        <f>105257000/1000000</f>
        <v>105.25700000000001</v>
      </c>
      <c r="V286" s="457"/>
      <c r="W286" s="146"/>
      <c r="X286" s="46">
        <f>SUM(Y286:AB286)</f>
        <v>560</v>
      </c>
      <c r="Y286" s="533">
        <v>450</v>
      </c>
      <c r="Z286" s="533">
        <v>110</v>
      </c>
      <c r="AA286" s="441"/>
      <c r="AB286" s="441"/>
      <c r="AC286" s="46">
        <f>SUM(AD286:AG286)</f>
        <v>560</v>
      </c>
      <c r="AD286" s="533">
        <v>450</v>
      </c>
      <c r="AE286" s="533">
        <v>110</v>
      </c>
      <c r="AF286" s="441"/>
      <c r="AG286" s="441"/>
      <c r="AH286" s="3"/>
    </row>
    <row r="287" spans="1:34" s="139" customFormat="1" ht="47.25">
      <c r="A287" s="136">
        <v>2</v>
      </c>
      <c r="B287" s="144" t="s">
        <v>354</v>
      </c>
      <c r="C287" s="618" t="s">
        <v>133</v>
      </c>
      <c r="D287" s="142" t="s">
        <v>93</v>
      </c>
      <c r="E287" s="142" t="s">
        <v>42</v>
      </c>
      <c r="F287" s="610">
        <v>7980929</v>
      </c>
      <c r="G287" s="611">
        <v>41</v>
      </c>
      <c r="H287" s="619" t="s">
        <v>410</v>
      </c>
      <c r="I287" s="255" t="s">
        <v>153</v>
      </c>
      <c r="J287" s="620" t="s">
        <v>150</v>
      </c>
      <c r="K287" s="146">
        <v>3170.7060000000001</v>
      </c>
      <c r="L287" s="621">
        <v>0</v>
      </c>
      <c r="M287" s="146"/>
      <c r="N287" s="146">
        <f t="shared" ref="N287:N293" si="221">SUM(O287:R287)</f>
        <v>500</v>
      </c>
      <c r="O287" s="151">
        <v>400</v>
      </c>
      <c r="P287" s="151">
        <v>100</v>
      </c>
      <c r="Q287" s="146"/>
      <c r="R287" s="146"/>
      <c r="S287" s="146">
        <f>SUM(T287:W287)</f>
        <v>484.93</v>
      </c>
      <c r="T287" s="146">
        <v>400</v>
      </c>
      <c r="U287" s="370">
        <f>84930000/1000000</f>
        <v>84.93</v>
      </c>
      <c r="V287" s="148"/>
      <c r="W287" s="146"/>
      <c r="X287" s="146">
        <f t="shared" ref="X287:X293" si="222">SUM(Y287:AB287)</f>
        <v>500</v>
      </c>
      <c r="Y287" s="151">
        <v>400</v>
      </c>
      <c r="Z287" s="151">
        <v>100</v>
      </c>
      <c r="AA287" s="146"/>
      <c r="AB287" s="146"/>
      <c r="AC287" s="146">
        <f t="shared" ref="AC287:AC293" si="223">SUM(AD287:AG287)</f>
        <v>500</v>
      </c>
      <c r="AD287" s="151">
        <v>400</v>
      </c>
      <c r="AE287" s="151">
        <v>100</v>
      </c>
      <c r="AF287" s="146"/>
      <c r="AG287" s="146"/>
      <c r="AH287" s="138"/>
    </row>
    <row r="288" spans="1:34" ht="60">
      <c r="A288" s="136">
        <v>3</v>
      </c>
      <c r="B288" s="144" t="s">
        <v>137</v>
      </c>
      <c r="C288" s="534" t="s">
        <v>133</v>
      </c>
      <c r="D288" s="142" t="s">
        <v>447</v>
      </c>
      <c r="E288" s="142" t="s">
        <v>42</v>
      </c>
      <c r="F288" s="192">
        <v>7984290</v>
      </c>
      <c r="G288" s="114">
        <v>41</v>
      </c>
      <c r="H288" s="535" t="s">
        <v>296</v>
      </c>
      <c r="I288" s="173" t="s">
        <v>153</v>
      </c>
      <c r="J288" s="180" t="s">
        <v>139</v>
      </c>
      <c r="K288" s="46">
        <v>3157.1790000000001</v>
      </c>
      <c r="L288" s="536">
        <v>150.341848</v>
      </c>
      <c r="M288" s="146"/>
      <c r="N288" s="46">
        <f t="shared" si="221"/>
        <v>520</v>
      </c>
      <c r="O288" s="533">
        <v>400</v>
      </c>
      <c r="P288" s="533">
        <v>120</v>
      </c>
      <c r="Q288" s="441"/>
      <c r="R288" s="441"/>
      <c r="S288" s="146">
        <f t="shared" si="220"/>
        <v>516.49299999999994</v>
      </c>
      <c r="T288" s="441">
        <v>400</v>
      </c>
      <c r="U288" s="370">
        <f>116493000/1000000</f>
        <v>116.49299999999999</v>
      </c>
      <c r="V288" s="457"/>
      <c r="W288" s="146"/>
      <c r="X288" s="46">
        <f t="shared" si="222"/>
        <v>520</v>
      </c>
      <c r="Y288" s="533">
        <v>400</v>
      </c>
      <c r="Z288" s="533">
        <v>120</v>
      </c>
      <c r="AA288" s="441"/>
      <c r="AB288" s="441"/>
      <c r="AC288" s="46">
        <f t="shared" si="223"/>
        <v>520</v>
      </c>
      <c r="AD288" s="533">
        <v>400</v>
      </c>
      <c r="AE288" s="533">
        <v>120</v>
      </c>
      <c r="AF288" s="441"/>
      <c r="AG288" s="441"/>
      <c r="AH288" s="3"/>
    </row>
    <row r="289" spans="1:34" s="139" customFormat="1" ht="47.25">
      <c r="A289" s="136">
        <v>4</v>
      </c>
      <c r="B289" s="144" t="s">
        <v>355</v>
      </c>
      <c r="C289" s="618" t="s">
        <v>133</v>
      </c>
      <c r="D289" s="142" t="s">
        <v>448</v>
      </c>
      <c r="E289" s="142" t="s">
        <v>42</v>
      </c>
      <c r="F289" s="610">
        <v>7980930</v>
      </c>
      <c r="G289" s="611">
        <v>41</v>
      </c>
      <c r="H289" s="619" t="s">
        <v>411</v>
      </c>
      <c r="I289" s="255" t="s">
        <v>153</v>
      </c>
      <c r="J289" s="620" t="s">
        <v>140</v>
      </c>
      <c r="K289" s="146">
        <v>3139.0810000000001</v>
      </c>
      <c r="L289" s="621">
        <v>149.48003299999999</v>
      </c>
      <c r="M289" s="146"/>
      <c r="N289" s="146">
        <f t="shared" si="221"/>
        <v>520</v>
      </c>
      <c r="O289" s="151">
        <v>520</v>
      </c>
      <c r="P289" s="151"/>
      <c r="Q289" s="146"/>
      <c r="R289" s="146"/>
      <c r="S289" s="146">
        <f t="shared" si="220"/>
        <v>526.86799999999994</v>
      </c>
      <c r="T289" s="146">
        <f>514914000/1000000</f>
        <v>514.91399999999999</v>
      </c>
      <c r="U289" s="370">
        <v>11.954000000000001</v>
      </c>
      <c r="V289" s="148"/>
      <c r="W289" s="146"/>
      <c r="X289" s="146">
        <f t="shared" si="222"/>
        <v>520</v>
      </c>
      <c r="Y289" s="151">
        <v>520</v>
      </c>
      <c r="Z289" s="151"/>
      <c r="AA289" s="146"/>
      <c r="AB289" s="146"/>
      <c r="AC289" s="146">
        <f t="shared" si="223"/>
        <v>520</v>
      </c>
      <c r="AD289" s="151">
        <v>520</v>
      </c>
      <c r="AE289" s="151"/>
      <c r="AF289" s="146"/>
      <c r="AG289" s="146"/>
      <c r="AH289" s="138"/>
    </row>
    <row r="290" spans="1:34" s="139" customFormat="1" ht="47.25">
      <c r="A290" s="136">
        <v>5</v>
      </c>
      <c r="B290" s="144" t="s">
        <v>138</v>
      </c>
      <c r="C290" s="618" t="s">
        <v>133</v>
      </c>
      <c r="D290" s="142" t="s">
        <v>443</v>
      </c>
      <c r="E290" s="142" t="s">
        <v>42</v>
      </c>
      <c r="F290" s="610">
        <v>7984069</v>
      </c>
      <c r="G290" s="611">
        <v>41</v>
      </c>
      <c r="H290" s="619" t="s">
        <v>143</v>
      </c>
      <c r="I290" s="255" t="s">
        <v>153</v>
      </c>
      <c r="J290" s="620" t="s">
        <v>141</v>
      </c>
      <c r="K290" s="146">
        <v>3137.8670000000002</v>
      </c>
      <c r="L290" s="621">
        <v>149.42224999999999</v>
      </c>
      <c r="M290" s="146"/>
      <c r="N290" s="146">
        <f t="shared" si="221"/>
        <v>463.26099999999997</v>
      </c>
      <c r="O290" s="622">
        <f>314786000/1000000</f>
        <v>314.786</v>
      </c>
      <c r="P290" s="622">
        <f>148475000/1000000</f>
        <v>148.47499999999999</v>
      </c>
      <c r="Q290" s="146"/>
      <c r="R290" s="146"/>
      <c r="S290" s="146">
        <f t="shared" si="220"/>
        <v>463.26099999999997</v>
      </c>
      <c r="T290" s="146">
        <v>314.786</v>
      </c>
      <c r="U290" s="657">
        <f>148475000/1000000</f>
        <v>148.47499999999999</v>
      </c>
      <c r="V290" s="148"/>
      <c r="W290" s="146"/>
      <c r="X290" s="146">
        <f t="shared" si="222"/>
        <v>463.26099999999997</v>
      </c>
      <c r="Y290" s="622">
        <f>314786000/1000000</f>
        <v>314.786</v>
      </c>
      <c r="Z290" s="622">
        <f>148475000/1000000</f>
        <v>148.47499999999999</v>
      </c>
      <c r="AA290" s="146"/>
      <c r="AB290" s="146"/>
      <c r="AC290" s="146">
        <f t="shared" si="223"/>
        <v>463.26099999999997</v>
      </c>
      <c r="AD290" s="622">
        <f>314786000/1000000</f>
        <v>314.786</v>
      </c>
      <c r="AE290" s="622">
        <f>148475000/1000000</f>
        <v>148.47499999999999</v>
      </c>
      <c r="AF290" s="146"/>
      <c r="AG290" s="146"/>
      <c r="AH290" s="138"/>
    </row>
    <row r="291" spans="1:34" ht="60">
      <c r="A291" s="136">
        <v>6</v>
      </c>
      <c r="B291" s="144" t="s">
        <v>135</v>
      </c>
      <c r="C291" s="534" t="s">
        <v>133</v>
      </c>
      <c r="D291" s="142" t="s">
        <v>449</v>
      </c>
      <c r="E291" s="142" t="s">
        <v>42</v>
      </c>
      <c r="F291" s="192">
        <v>7984288</v>
      </c>
      <c r="G291" s="114">
        <v>41</v>
      </c>
      <c r="H291" s="535" t="s">
        <v>147</v>
      </c>
      <c r="I291" s="173" t="s">
        <v>153</v>
      </c>
      <c r="J291" s="180" t="s">
        <v>481</v>
      </c>
      <c r="K291" s="46">
        <v>3156.94</v>
      </c>
      <c r="L291" s="536">
        <v>150.33048500000001</v>
      </c>
      <c r="M291" s="146"/>
      <c r="N291" s="46">
        <f t="shared" si="221"/>
        <v>450.40699999999998</v>
      </c>
      <c r="O291" s="537">
        <f>450407000/1000000</f>
        <v>450.40699999999998</v>
      </c>
      <c r="P291" s="533"/>
      <c r="Q291" s="441"/>
      <c r="R291" s="441"/>
      <c r="S291" s="146">
        <f t="shared" si="220"/>
        <v>440</v>
      </c>
      <c r="T291" s="441">
        <v>440</v>
      </c>
      <c r="U291" s="370"/>
      <c r="V291" s="457"/>
      <c r="W291" s="146"/>
      <c r="X291" s="46">
        <f t="shared" si="222"/>
        <v>450.40699999999998</v>
      </c>
      <c r="Y291" s="537">
        <f>450407000/1000000</f>
        <v>450.40699999999998</v>
      </c>
      <c r="Z291" s="533"/>
      <c r="AA291" s="441"/>
      <c r="AB291" s="441"/>
      <c r="AC291" s="46">
        <f t="shared" si="223"/>
        <v>450.40699999999998</v>
      </c>
      <c r="AD291" s="537">
        <f>450407000/1000000</f>
        <v>450.40699999999998</v>
      </c>
      <c r="AE291" s="533"/>
      <c r="AF291" s="441"/>
      <c r="AG291" s="441"/>
      <c r="AH291" s="3"/>
    </row>
    <row r="292" spans="1:34" ht="75">
      <c r="A292" s="136">
        <v>7</v>
      </c>
      <c r="B292" s="144" t="s">
        <v>136</v>
      </c>
      <c r="C292" s="534" t="s">
        <v>133</v>
      </c>
      <c r="D292" s="142" t="s">
        <v>450</v>
      </c>
      <c r="E292" s="142" t="s">
        <v>42</v>
      </c>
      <c r="F292" s="192">
        <v>7984292</v>
      </c>
      <c r="G292" s="114">
        <v>41</v>
      </c>
      <c r="H292" s="535" t="s">
        <v>412</v>
      </c>
      <c r="I292" s="173" t="s">
        <v>153</v>
      </c>
      <c r="J292" s="180" t="s">
        <v>142</v>
      </c>
      <c r="K292" s="46">
        <v>3163.431</v>
      </c>
      <c r="L292" s="536">
        <v>121.67041500000001</v>
      </c>
      <c r="M292" s="146"/>
      <c r="N292" s="46">
        <f t="shared" si="221"/>
        <v>295.78800000000001</v>
      </c>
      <c r="O292" s="537">
        <f>295788000/1000000</f>
        <v>295.78800000000001</v>
      </c>
      <c r="P292" s="533"/>
      <c r="Q292" s="441"/>
      <c r="R292" s="441"/>
      <c r="S292" s="146">
        <f t="shared" si="220"/>
        <v>63</v>
      </c>
      <c r="T292" s="441">
        <v>63</v>
      </c>
      <c r="U292" s="370"/>
      <c r="V292" s="457"/>
      <c r="W292" s="146"/>
      <c r="X292" s="46">
        <f t="shared" si="222"/>
        <v>295.78800000000001</v>
      </c>
      <c r="Y292" s="537">
        <f>295788000/1000000</f>
        <v>295.78800000000001</v>
      </c>
      <c r="Z292" s="533"/>
      <c r="AA292" s="441"/>
      <c r="AB292" s="441"/>
      <c r="AC292" s="46">
        <f t="shared" si="223"/>
        <v>295.78800000000001</v>
      </c>
      <c r="AD292" s="537">
        <f>295788000/1000000</f>
        <v>295.78800000000001</v>
      </c>
      <c r="AE292" s="533"/>
      <c r="AF292" s="441"/>
      <c r="AG292" s="441"/>
      <c r="AH292" s="3"/>
    </row>
    <row r="293" spans="1:34" s="139" customFormat="1" ht="75">
      <c r="A293" s="136">
        <v>8</v>
      </c>
      <c r="B293" s="144" t="s">
        <v>356</v>
      </c>
      <c r="C293" s="618" t="s">
        <v>133</v>
      </c>
      <c r="D293" s="142" t="s">
        <v>102</v>
      </c>
      <c r="E293" s="142" t="s">
        <v>42</v>
      </c>
      <c r="F293" s="610">
        <v>7980932</v>
      </c>
      <c r="G293" s="611">
        <v>41</v>
      </c>
      <c r="H293" s="619" t="s">
        <v>412</v>
      </c>
      <c r="I293" s="255" t="s">
        <v>153</v>
      </c>
      <c r="J293" s="620" t="s">
        <v>482</v>
      </c>
      <c r="K293" s="146">
        <v>3153.42</v>
      </c>
      <c r="L293" s="621">
        <v>0</v>
      </c>
      <c r="M293" s="146"/>
      <c r="N293" s="146">
        <f t="shared" si="221"/>
        <v>550</v>
      </c>
      <c r="O293" s="151">
        <v>400</v>
      </c>
      <c r="P293" s="151">
        <v>150</v>
      </c>
      <c r="Q293" s="146"/>
      <c r="R293" s="146"/>
      <c r="S293" s="146">
        <f t="shared" si="220"/>
        <v>543.39099999999996</v>
      </c>
      <c r="T293" s="146">
        <v>400</v>
      </c>
      <c r="U293" s="463">
        <f>143391000/1000000</f>
        <v>143.39099999999999</v>
      </c>
      <c r="V293" s="148"/>
      <c r="W293" s="146"/>
      <c r="X293" s="146">
        <f t="shared" si="222"/>
        <v>550</v>
      </c>
      <c r="Y293" s="151">
        <v>400</v>
      </c>
      <c r="Z293" s="151">
        <v>150</v>
      </c>
      <c r="AA293" s="146"/>
      <c r="AB293" s="146"/>
      <c r="AC293" s="146">
        <f t="shared" si="223"/>
        <v>550</v>
      </c>
      <c r="AD293" s="151">
        <v>400</v>
      </c>
      <c r="AE293" s="151">
        <v>150</v>
      </c>
      <c r="AF293" s="146"/>
      <c r="AG293" s="146"/>
      <c r="AH293" s="138"/>
    </row>
    <row r="294" spans="1:34" s="273" customFormat="1" ht="39.75" customHeight="1">
      <c r="A294" s="260">
        <v>-6</v>
      </c>
      <c r="B294" s="275" t="s">
        <v>357</v>
      </c>
      <c r="C294" s="285"/>
      <c r="D294" s="268"/>
      <c r="E294" s="268"/>
      <c r="F294" s="286"/>
      <c r="G294" s="279"/>
      <c r="H294" s="285"/>
      <c r="I294" s="284"/>
      <c r="J294" s="279"/>
      <c r="K294" s="287">
        <f>K295+K339</f>
        <v>124028.124</v>
      </c>
      <c r="L294" s="287">
        <f t="shared" ref="L294:W294" si="224">L295+L339</f>
        <v>6081.7475610000001</v>
      </c>
      <c r="M294" s="287">
        <f t="shared" si="224"/>
        <v>0</v>
      </c>
      <c r="N294" s="287">
        <f t="shared" si="224"/>
        <v>51636.298500000004</v>
      </c>
      <c r="O294" s="287">
        <f t="shared" si="224"/>
        <v>1303.0529999999999</v>
      </c>
      <c r="P294" s="287">
        <f t="shared" si="224"/>
        <v>50333.245499999997</v>
      </c>
      <c r="Q294" s="287">
        <f t="shared" si="224"/>
        <v>0</v>
      </c>
      <c r="R294" s="287">
        <f t="shared" si="224"/>
        <v>0</v>
      </c>
      <c r="S294" s="287">
        <f t="shared" si="224"/>
        <v>41915.11</v>
      </c>
      <c r="T294" s="287">
        <f t="shared" si="224"/>
        <v>1243.0529999999999</v>
      </c>
      <c r="U294" s="287">
        <f t="shared" si="224"/>
        <v>40672.057000000001</v>
      </c>
      <c r="V294" s="287">
        <f t="shared" si="224"/>
        <v>0</v>
      </c>
      <c r="W294" s="287">
        <f t="shared" si="224"/>
        <v>0</v>
      </c>
      <c r="X294" s="287">
        <f t="shared" ref="X294:AB294" si="225">X295+X339</f>
        <v>51636.298500000004</v>
      </c>
      <c r="Y294" s="287">
        <f t="shared" si="225"/>
        <v>1303.0529999999999</v>
      </c>
      <c r="Z294" s="287">
        <f t="shared" si="225"/>
        <v>50333.245499999997</v>
      </c>
      <c r="AA294" s="287">
        <f t="shared" si="225"/>
        <v>0</v>
      </c>
      <c r="AB294" s="287">
        <f t="shared" si="225"/>
        <v>0</v>
      </c>
      <c r="AC294" s="287">
        <f t="shared" ref="AC294:AG294" si="226">AC295+AC339</f>
        <v>51636.298500000004</v>
      </c>
      <c r="AD294" s="287">
        <f t="shared" si="226"/>
        <v>1303.0529999999999</v>
      </c>
      <c r="AE294" s="287">
        <f t="shared" si="226"/>
        <v>50333.245499999997</v>
      </c>
      <c r="AF294" s="287">
        <f t="shared" si="226"/>
        <v>0</v>
      </c>
      <c r="AG294" s="287">
        <f t="shared" si="226"/>
        <v>0</v>
      </c>
      <c r="AH294" s="272"/>
    </row>
    <row r="295" spans="1:34" s="337" customFormat="1">
      <c r="A295" s="328"/>
      <c r="B295" s="329" t="s">
        <v>349</v>
      </c>
      <c r="C295" s="330"/>
      <c r="D295" s="331"/>
      <c r="E295" s="331"/>
      <c r="F295" s="332"/>
      <c r="G295" s="333"/>
      <c r="H295" s="330"/>
      <c r="I295" s="334"/>
      <c r="J295" s="333"/>
      <c r="K295" s="335">
        <f>+SUM(K296:K328)</f>
        <v>77479.144</v>
      </c>
      <c r="L295" s="335">
        <f t="shared" ref="L295:M295" si="227">+SUM(L296:L328)</f>
        <v>3609.026762</v>
      </c>
      <c r="M295" s="335">
        <f t="shared" si="227"/>
        <v>0</v>
      </c>
      <c r="N295" s="335">
        <f>+SUM(N296:N338)</f>
        <v>19894.592000000001</v>
      </c>
      <c r="O295" s="335">
        <f t="shared" ref="O295:W295" si="228">+SUM(O296:O338)</f>
        <v>1303.0529999999999</v>
      </c>
      <c r="P295" s="335">
        <f t="shared" si="228"/>
        <v>18591.538999999997</v>
      </c>
      <c r="Q295" s="335">
        <f t="shared" si="228"/>
        <v>0</v>
      </c>
      <c r="R295" s="335">
        <f t="shared" si="228"/>
        <v>0</v>
      </c>
      <c r="S295" s="335">
        <f>+SUM(S296:S338)</f>
        <v>19759.312999999998</v>
      </c>
      <c r="T295" s="335">
        <f>+SUM(T296:T338)</f>
        <v>1243.0529999999999</v>
      </c>
      <c r="U295" s="335">
        <f t="shared" si="228"/>
        <v>18516.259999999995</v>
      </c>
      <c r="V295" s="335">
        <f t="shared" si="228"/>
        <v>0</v>
      </c>
      <c r="W295" s="335">
        <f t="shared" si="228"/>
        <v>0</v>
      </c>
      <c r="X295" s="335">
        <f>+SUM(X296:X338)</f>
        <v>19894.592000000001</v>
      </c>
      <c r="Y295" s="335">
        <f t="shared" ref="Y295:AB295" si="229">+SUM(Y296:Y338)</f>
        <v>1303.0529999999999</v>
      </c>
      <c r="Z295" s="335">
        <f t="shared" si="229"/>
        <v>18591.538999999997</v>
      </c>
      <c r="AA295" s="335">
        <f t="shared" si="229"/>
        <v>0</v>
      </c>
      <c r="AB295" s="335">
        <f t="shared" si="229"/>
        <v>0</v>
      </c>
      <c r="AC295" s="335">
        <f>+SUM(AC296:AC338)</f>
        <v>19894.592000000001</v>
      </c>
      <c r="AD295" s="335">
        <f t="shared" ref="AD295:AG295" si="230">+SUM(AD296:AD338)</f>
        <v>1303.0529999999999</v>
      </c>
      <c r="AE295" s="335">
        <f t="shared" si="230"/>
        <v>18591.538999999997</v>
      </c>
      <c r="AF295" s="335">
        <f t="shared" si="230"/>
        <v>0</v>
      </c>
      <c r="AG295" s="335">
        <f t="shared" si="230"/>
        <v>0</v>
      </c>
      <c r="AH295" s="336"/>
    </row>
    <row r="296" spans="1:34" ht="94.5" customHeight="1">
      <c r="A296" s="136">
        <v>1</v>
      </c>
      <c r="B296" s="144" t="s">
        <v>358</v>
      </c>
      <c r="C296" s="534" t="s">
        <v>388</v>
      </c>
      <c r="D296" s="142" t="s">
        <v>162</v>
      </c>
      <c r="E296" s="142" t="s">
        <v>42</v>
      </c>
      <c r="F296" s="192">
        <v>7004686</v>
      </c>
      <c r="G296" s="114">
        <v>11</v>
      </c>
      <c r="H296" s="535" t="s">
        <v>413</v>
      </c>
      <c r="I296" s="173" t="s">
        <v>48</v>
      </c>
      <c r="J296" s="180" t="s">
        <v>483</v>
      </c>
      <c r="K296" s="46">
        <v>1122.461</v>
      </c>
      <c r="L296" s="536">
        <v>0</v>
      </c>
      <c r="M296" s="146"/>
      <c r="N296" s="46">
        <f>SUM(O296:R296)</f>
        <v>32.460999999999999</v>
      </c>
      <c r="O296" s="537">
        <v>32.460999999999999</v>
      </c>
      <c r="P296" s="533">
        <v>0</v>
      </c>
      <c r="Q296" s="441"/>
      <c r="R296" s="441"/>
      <c r="S296" s="146">
        <f t="shared" ref="S296:S300" si="231">SUM(T296:W296)</f>
        <v>32.460999999999999</v>
      </c>
      <c r="T296" s="441">
        <v>32.460999999999999</v>
      </c>
      <c r="U296" s="533">
        <v>0</v>
      </c>
      <c r="V296" s="457"/>
      <c r="W296" s="146"/>
      <c r="X296" s="46">
        <f>SUM(Y296:AB296)</f>
        <v>32.460999999999999</v>
      </c>
      <c r="Y296" s="537">
        <v>32.460999999999999</v>
      </c>
      <c r="Z296" s="533">
        <v>0</v>
      </c>
      <c r="AA296" s="441"/>
      <c r="AB296" s="441"/>
      <c r="AC296" s="46">
        <f>SUM(AD296:AG296)</f>
        <v>32.460999999999999</v>
      </c>
      <c r="AD296" s="537">
        <v>32.460999999999999</v>
      </c>
      <c r="AE296" s="533">
        <v>0</v>
      </c>
      <c r="AF296" s="441"/>
      <c r="AG296" s="441"/>
      <c r="AH296" s="3"/>
    </row>
    <row r="297" spans="1:34" ht="94.5" customHeight="1">
      <c r="A297" s="136">
        <v>2</v>
      </c>
      <c r="B297" s="144" t="s">
        <v>359</v>
      </c>
      <c r="C297" s="534" t="s">
        <v>388</v>
      </c>
      <c r="D297" s="142" t="s">
        <v>450</v>
      </c>
      <c r="E297" s="142" t="s">
        <v>42</v>
      </c>
      <c r="F297" s="192">
        <v>7004686</v>
      </c>
      <c r="G297" s="114">
        <v>11</v>
      </c>
      <c r="H297" s="535" t="s">
        <v>414</v>
      </c>
      <c r="I297" s="173" t="s">
        <v>48</v>
      </c>
      <c r="J297" s="180" t="s">
        <v>484</v>
      </c>
      <c r="K297" s="46">
        <v>963.59199999999998</v>
      </c>
      <c r="L297" s="536">
        <v>0</v>
      </c>
      <c r="M297" s="146"/>
      <c r="N297" s="46">
        <f t="shared" ref="N297:N338" si="232">SUM(O297:R297)</f>
        <v>48.591999999999999</v>
      </c>
      <c r="O297" s="537">
        <v>48.591999999999999</v>
      </c>
      <c r="P297" s="533">
        <v>0</v>
      </c>
      <c r="Q297" s="441"/>
      <c r="R297" s="441"/>
      <c r="S297" s="146">
        <f t="shared" si="231"/>
        <v>48.591999999999999</v>
      </c>
      <c r="T297" s="441">
        <v>48.591999999999999</v>
      </c>
      <c r="U297" s="533">
        <v>0</v>
      </c>
      <c r="V297" s="457"/>
      <c r="W297" s="146"/>
      <c r="X297" s="46">
        <f t="shared" ref="X297:X299" si="233">SUM(Y297:AB297)</f>
        <v>48.591999999999999</v>
      </c>
      <c r="Y297" s="537">
        <v>48.591999999999999</v>
      </c>
      <c r="Z297" s="533">
        <v>0</v>
      </c>
      <c r="AA297" s="441"/>
      <c r="AB297" s="441"/>
      <c r="AC297" s="46">
        <f t="shared" ref="AC297:AC299" si="234">SUM(AD297:AG297)</f>
        <v>48.591999999999999</v>
      </c>
      <c r="AD297" s="537">
        <v>48.591999999999999</v>
      </c>
      <c r="AE297" s="533">
        <v>0</v>
      </c>
      <c r="AF297" s="441"/>
      <c r="AG297" s="441"/>
      <c r="AH297" s="3"/>
    </row>
    <row r="298" spans="1:34" ht="94.5" customHeight="1">
      <c r="A298" s="136">
        <v>3</v>
      </c>
      <c r="B298" s="144" t="s">
        <v>360</v>
      </c>
      <c r="C298" s="534" t="s">
        <v>388</v>
      </c>
      <c r="D298" s="142" t="s">
        <v>451</v>
      </c>
      <c r="E298" s="142" t="s">
        <v>42</v>
      </c>
      <c r="F298" s="192">
        <v>7004686</v>
      </c>
      <c r="G298" s="114">
        <v>11</v>
      </c>
      <c r="H298" s="535" t="s">
        <v>415</v>
      </c>
      <c r="I298" s="173" t="s">
        <v>48</v>
      </c>
      <c r="J298" s="180" t="s">
        <v>485</v>
      </c>
      <c r="K298" s="46">
        <v>3625.8530000000001</v>
      </c>
      <c r="L298" s="536">
        <v>172.659649</v>
      </c>
      <c r="M298" s="146"/>
      <c r="N298" s="46">
        <f t="shared" si="232"/>
        <v>700</v>
      </c>
      <c r="O298" s="533">
        <v>700</v>
      </c>
      <c r="P298" s="533">
        <v>0</v>
      </c>
      <c r="Q298" s="441"/>
      <c r="R298" s="441"/>
      <c r="S298" s="146">
        <f>SUM(T298:W298)</f>
        <v>640</v>
      </c>
      <c r="T298" s="441">
        <f>700-60</f>
        <v>640</v>
      </c>
      <c r="U298" s="533">
        <v>0</v>
      </c>
      <c r="V298" s="457"/>
      <c r="W298" s="146"/>
      <c r="X298" s="46">
        <f t="shared" si="233"/>
        <v>700</v>
      </c>
      <c r="Y298" s="533">
        <v>700</v>
      </c>
      <c r="Z298" s="533">
        <v>0</v>
      </c>
      <c r="AA298" s="441"/>
      <c r="AB298" s="441"/>
      <c r="AC298" s="46">
        <f t="shared" si="234"/>
        <v>700</v>
      </c>
      <c r="AD298" s="533">
        <v>700</v>
      </c>
      <c r="AE298" s="533">
        <v>0</v>
      </c>
      <c r="AF298" s="441"/>
      <c r="AG298" s="441"/>
      <c r="AH298" s="3"/>
    </row>
    <row r="299" spans="1:34" ht="94.5" customHeight="1">
      <c r="A299" s="136">
        <v>4</v>
      </c>
      <c r="B299" s="144" t="s">
        <v>361</v>
      </c>
      <c r="C299" s="534" t="s">
        <v>388</v>
      </c>
      <c r="D299" s="142" t="s">
        <v>449</v>
      </c>
      <c r="E299" s="142" t="s">
        <v>42</v>
      </c>
      <c r="F299" s="192">
        <v>7004686</v>
      </c>
      <c r="G299" s="114">
        <v>11</v>
      </c>
      <c r="H299" s="535" t="s">
        <v>416</v>
      </c>
      <c r="I299" s="173" t="s">
        <v>48</v>
      </c>
      <c r="J299" s="180" t="s">
        <v>486</v>
      </c>
      <c r="K299" s="46">
        <v>265.66500000000002</v>
      </c>
      <c r="L299" s="536">
        <v>13.203716</v>
      </c>
      <c r="M299" s="146"/>
      <c r="N299" s="46">
        <f t="shared" si="232"/>
        <v>14.339</v>
      </c>
      <c r="O299" s="533">
        <v>12</v>
      </c>
      <c r="P299" s="537">
        <v>2.339</v>
      </c>
      <c r="Q299" s="441"/>
      <c r="R299" s="441"/>
      <c r="S299" s="146">
        <f t="shared" si="231"/>
        <v>14.339</v>
      </c>
      <c r="T299" s="441">
        <v>12</v>
      </c>
      <c r="U299" s="537">
        <v>2.339</v>
      </c>
      <c r="V299" s="457"/>
      <c r="W299" s="146"/>
      <c r="X299" s="46">
        <f t="shared" si="233"/>
        <v>14.339</v>
      </c>
      <c r="Y299" s="533">
        <v>12</v>
      </c>
      <c r="Z299" s="537">
        <v>2.339</v>
      </c>
      <c r="AA299" s="441"/>
      <c r="AB299" s="441"/>
      <c r="AC299" s="46">
        <f t="shared" si="234"/>
        <v>14.339</v>
      </c>
      <c r="AD299" s="533">
        <v>12</v>
      </c>
      <c r="AE299" s="537">
        <v>2.339</v>
      </c>
      <c r="AF299" s="441"/>
      <c r="AG299" s="441"/>
      <c r="AH299" s="3"/>
    </row>
    <row r="300" spans="1:34" ht="94.5" customHeight="1">
      <c r="A300" s="136">
        <v>5</v>
      </c>
      <c r="B300" s="144" t="s">
        <v>362</v>
      </c>
      <c r="C300" s="534" t="s">
        <v>388</v>
      </c>
      <c r="D300" s="142" t="s">
        <v>449</v>
      </c>
      <c r="E300" s="142" t="s">
        <v>42</v>
      </c>
      <c r="F300" s="192">
        <v>7004686</v>
      </c>
      <c r="G300" s="114">
        <v>11</v>
      </c>
      <c r="H300" s="535" t="s">
        <v>417</v>
      </c>
      <c r="I300" s="173" t="s">
        <v>48</v>
      </c>
      <c r="J300" s="180" t="s">
        <v>487</v>
      </c>
      <c r="K300" s="46">
        <v>1616.346</v>
      </c>
      <c r="L300" s="536">
        <v>76.968838000000005</v>
      </c>
      <c r="M300" s="146"/>
      <c r="N300" s="46">
        <f>SUM(O300:R300)</f>
        <v>323.75400000000002</v>
      </c>
      <c r="O300" s="533">
        <v>260</v>
      </c>
      <c r="P300" s="537">
        <v>63.753999999999998</v>
      </c>
      <c r="Q300" s="441"/>
      <c r="R300" s="441"/>
      <c r="S300" s="146">
        <f t="shared" si="231"/>
        <v>323.75400000000002</v>
      </c>
      <c r="T300" s="441">
        <v>260</v>
      </c>
      <c r="U300" s="537">
        <v>63.753999999999998</v>
      </c>
      <c r="V300" s="457"/>
      <c r="W300" s="146"/>
      <c r="X300" s="46">
        <f>SUM(Y300:AB300)</f>
        <v>323.75400000000002</v>
      </c>
      <c r="Y300" s="533">
        <v>260</v>
      </c>
      <c r="Z300" s="537">
        <v>63.753999999999998</v>
      </c>
      <c r="AA300" s="441"/>
      <c r="AB300" s="441"/>
      <c r="AC300" s="46">
        <f>SUM(AD300:AG300)</f>
        <v>323.75400000000002</v>
      </c>
      <c r="AD300" s="533">
        <v>260</v>
      </c>
      <c r="AE300" s="537">
        <v>63.753999999999998</v>
      </c>
      <c r="AF300" s="441"/>
      <c r="AG300" s="441"/>
      <c r="AH300" s="3"/>
    </row>
    <row r="301" spans="1:34" ht="94.5" customHeight="1">
      <c r="A301" s="136">
        <v>6</v>
      </c>
      <c r="B301" s="144" t="s">
        <v>369</v>
      </c>
      <c r="C301" s="534" t="s">
        <v>389</v>
      </c>
      <c r="D301" s="142" t="s">
        <v>451</v>
      </c>
      <c r="E301" s="142" t="s">
        <v>42</v>
      </c>
      <c r="F301" s="192">
        <v>7926666</v>
      </c>
      <c r="G301" s="114">
        <v>292</v>
      </c>
      <c r="H301" s="535" t="s">
        <v>424</v>
      </c>
      <c r="I301" s="173" t="s">
        <v>48</v>
      </c>
      <c r="J301" s="180" t="s">
        <v>494</v>
      </c>
      <c r="K301" s="46">
        <v>1081.7739999999999</v>
      </c>
      <c r="L301" s="536">
        <v>51.513055999999999</v>
      </c>
      <c r="M301" s="146"/>
      <c r="N301" s="46">
        <f>SUM(O301:R301)</f>
        <v>141.45400000000001</v>
      </c>
      <c r="O301" s="533">
        <v>0</v>
      </c>
      <c r="P301" s="537">
        <v>141.45400000000001</v>
      </c>
      <c r="Q301" s="441"/>
      <c r="R301" s="441"/>
      <c r="S301" s="146">
        <f>SUM(T301:W301)</f>
        <v>141.45400000000001</v>
      </c>
      <c r="T301" s="441">
        <v>0</v>
      </c>
      <c r="U301" s="537">
        <v>141.45400000000001</v>
      </c>
      <c r="V301" s="457"/>
      <c r="W301" s="146"/>
      <c r="X301" s="46">
        <f>SUM(Y301:AB301)</f>
        <v>141.45400000000001</v>
      </c>
      <c r="Y301" s="533">
        <v>0</v>
      </c>
      <c r="Z301" s="537">
        <v>141.45400000000001</v>
      </c>
      <c r="AA301" s="441"/>
      <c r="AB301" s="441"/>
      <c r="AC301" s="46">
        <f>SUM(AD301:AG301)</f>
        <v>141.45400000000001</v>
      </c>
      <c r="AD301" s="533">
        <v>0</v>
      </c>
      <c r="AE301" s="537">
        <v>141.45400000000001</v>
      </c>
      <c r="AF301" s="441"/>
      <c r="AG301" s="441"/>
      <c r="AH301" s="3"/>
    </row>
    <row r="302" spans="1:34" ht="94.5" customHeight="1">
      <c r="A302" s="136">
        <v>7</v>
      </c>
      <c r="B302" s="144" t="s">
        <v>632</v>
      </c>
      <c r="C302" s="534" t="s">
        <v>61</v>
      </c>
      <c r="D302" s="142"/>
      <c r="E302" s="142" t="s">
        <v>42</v>
      </c>
      <c r="F302" s="192">
        <v>7978927</v>
      </c>
      <c r="G302" s="114"/>
      <c r="H302" s="535"/>
      <c r="I302" s="173"/>
      <c r="J302" s="180"/>
      <c r="K302" s="46"/>
      <c r="L302" s="536"/>
      <c r="M302" s="146"/>
      <c r="N302" s="46">
        <f>SUM(O302:R302)</f>
        <v>33.265000000000001</v>
      </c>
      <c r="O302" s="533"/>
      <c r="P302" s="537">
        <v>33.265000000000001</v>
      </c>
      <c r="Q302" s="441"/>
      <c r="R302" s="441"/>
      <c r="S302" s="146">
        <f>SUM(T302:W302)</f>
        <v>33.265000000000001</v>
      </c>
      <c r="T302" s="441"/>
      <c r="U302" s="537">
        <v>33.265000000000001</v>
      </c>
      <c r="V302" s="457"/>
      <c r="W302" s="146"/>
      <c r="X302" s="46">
        <f>SUM(Y302:AB302)</f>
        <v>33.265000000000001</v>
      </c>
      <c r="Y302" s="533"/>
      <c r="Z302" s="537">
        <v>33.265000000000001</v>
      </c>
      <c r="AA302" s="441"/>
      <c r="AB302" s="441"/>
      <c r="AC302" s="46">
        <f>SUM(AD302:AG302)</f>
        <v>33.265000000000001</v>
      </c>
      <c r="AD302" s="533"/>
      <c r="AE302" s="537">
        <v>33.265000000000001</v>
      </c>
      <c r="AF302" s="441"/>
      <c r="AG302" s="441"/>
      <c r="AH302" s="3"/>
    </row>
    <row r="303" spans="1:34" ht="94.5" customHeight="1">
      <c r="A303" s="136">
        <v>8</v>
      </c>
      <c r="B303" s="144" t="s">
        <v>363</v>
      </c>
      <c r="C303" s="534" t="s">
        <v>61</v>
      </c>
      <c r="D303" s="142" t="s">
        <v>130</v>
      </c>
      <c r="E303" s="142" t="s">
        <v>42</v>
      </c>
      <c r="F303" s="192">
        <v>7960091</v>
      </c>
      <c r="G303" s="114">
        <v>341</v>
      </c>
      <c r="H303" s="535" t="s">
        <v>418</v>
      </c>
      <c r="I303" s="173" t="s">
        <v>48</v>
      </c>
      <c r="J303" s="180" t="s">
        <v>488</v>
      </c>
      <c r="K303" s="46">
        <v>2300.8710000000001</v>
      </c>
      <c r="L303" s="536">
        <v>16.537172000000002</v>
      </c>
      <c r="M303" s="146"/>
      <c r="N303" s="46">
        <f t="shared" ref="N303:N327" si="235">SUM(O303:R303)</f>
        <v>395.23899999999998</v>
      </c>
      <c r="O303" s="533">
        <v>0</v>
      </c>
      <c r="P303" s="537">
        <v>395.23899999999998</v>
      </c>
      <c r="Q303" s="441"/>
      <c r="R303" s="441"/>
      <c r="S303" s="146">
        <f t="shared" ref="S303:S328" si="236">SUM(T303:W303)</f>
        <v>395.23899999999998</v>
      </c>
      <c r="T303" s="441">
        <v>0</v>
      </c>
      <c r="U303" s="370">
        <f>395239000/1000000</f>
        <v>395.23899999999998</v>
      </c>
      <c r="V303" s="457"/>
      <c r="W303" s="146"/>
      <c r="X303" s="46">
        <f t="shared" ref="X303:X327" si="237">SUM(Y303:AB303)</f>
        <v>395.23899999999998</v>
      </c>
      <c r="Y303" s="533">
        <v>0</v>
      </c>
      <c r="Z303" s="537">
        <v>395.23899999999998</v>
      </c>
      <c r="AA303" s="441"/>
      <c r="AB303" s="441"/>
      <c r="AC303" s="46">
        <f t="shared" ref="AC303:AC327" si="238">SUM(AD303:AG303)</f>
        <v>395.23899999999998</v>
      </c>
      <c r="AD303" s="533">
        <v>0</v>
      </c>
      <c r="AE303" s="537">
        <v>395.23899999999998</v>
      </c>
      <c r="AF303" s="441"/>
      <c r="AG303" s="441"/>
      <c r="AH303" s="3"/>
    </row>
    <row r="304" spans="1:34" ht="94.5" customHeight="1">
      <c r="A304" s="136">
        <v>9</v>
      </c>
      <c r="B304" s="144" t="s">
        <v>364</v>
      </c>
      <c r="C304" s="534" t="s">
        <v>61</v>
      </c>
      <c r="D304" s="142" t="s">
        <v>452</v>
      </c>
      <c r="E304" s="142" t="s">
        <v>42</v>
      </c>
      <c r="F304" s="192">
        <v>7922911</v>
      </c>
      <c r="G304" s="114">
        <v>341</v>
      </c>
      <c r="H304" s="535" t="s">
        <v>419</v>
      </c>
      <c r="I304" s="173" t="s">
        <v>48</v>
      </c>
      <c r="J304" s="180" t="s">
        <v>489</v>
      </c>
      <c r="K304" s="46">
        <v>1163.787</v>
      </c>
      <c r="L304" s="536">
        <v>55.418469999999999</v>
      </c>
      <c r="M304" s="146"/>
      <c r="N304" s="46">
        <f t="shared" si="235"/>
        <v>183.67099999999999</v>
      </c>
      <c r="O304" s="533">
        <v>0</v>
      </c>
      <c r="P304" s="537">
        <v>183.67099999999999</v>
      </c>
      <c r="Q304" s="441"/>
      <c r="R304" s="441"/>
      <c r="S304" s="146">
        <f t="shared" si="236"/>
        <v>183.67099999999999</v>
      </c>
      <c r="T304" s="441">
        <v>0</v>
      </c>
      <c r="U304" s="370">
        <v>183.67099999999999</v>
      </c>
      <c r="V304" s="457"/>
      <c r="W304" s="146"/>
      <c r="X304" s="46">
        <f t="shared" si="237"/>
        <v>183.67099999999999</v>
      </c>
      <c r="Y304" s="533">
        <v>0</v>
      </c>
      <c r="Z304" s="537">
        <v>183.67099999999999</v>
      </c>
      <c r="AA304" s="441"/>
      <c r="AB304" s="441"/>
      <c r="AC304" s="46">
        <f t="shared" si="238"/>
        <v>183.67099999999999</v>
      </c>
      <c r="AD304" s="533">
        <v>0</v>
      </c>
      <c r="AE304" s="537">
        <v>183.67099999999999</v>
      </c>
      <c r="AF304" s="441"/>
      <c r="AG304" s="441"/>
      <c r="AH304" s="3"/>
    </row>
    <row r="305" spans="1:34" ht="94.5" customHeight="1">
      <c r="A305" s="136">
        <v>10</v>
      </c>
      <c r="B305" s="144" t="s">
        <v>365</v>
      </c>
      <c r="C305" s="534" t="s">
        <v>61</v>
      </c>
      <c r="D305" s="142" t="s">
        <v>452</v>
      </c>
      <c r="E305" s="142" t="s">
        <v>42</v>
      </c>
      <c r="F305" s="192">
        <v>7921847</v>
      </c>
      <c r="G305" s="114">
        <v>341</v>
      </c>
      <c r="H305" s="535" t="s">
        <v>420</v>
      </c>
      <c r="I305" s="173" t="s">
        <v>48</v>
      </c>
      <c r="J305" s="180" t="s">
        <v>490</v>
      </c>
      <c r="K305" s="46">
        <v>601.93899999999996</v>
      </c>
      <c r="L305" s="536">
        <v>16.439606999999999</v>
      </c>
      <c r="M305" s="146"/>
      <c r="N305" s="46">
        <f t="shared" si="235"/>
        <v>34</v>
      </c>
      <c r="O305" s="533">
        <v>0</v>
      </c>
      <c r="P305" s="537">
        <v>34</v>
      </c>
      <c r="Q305" s="441"/>
      <c r="R305" s="441"/>
      <c r="S305" s="146">
        <f t="shared" si="236"/>
        <v>34.04</v>
      </c>
      <c r="T305" s="441">
        <v>0</v>
      </c>
      <c r="U305" s="370">
        <f>34040000/1000000</f>
        <v>34.04</v>
      </c>
      <c r="V305" s="457"/>
      <c r="W305" s="146"/>
      <c r="X305" s="46">
        <f t="shared" si="237"/>
        <v>34</v>
      </c>
      <c r="Y305" s="533">
        <v>0</v>
      </c>
      <c r="Z305" s="537">
        <v>34</v>
      </c>
      <c r="AA305" s="441"/>
      <c r="AB305" s="441"/>
      <c r="AC305" s="46">
        <f t="shared" si="238"/>
        <v>34</v>
      </c>
      <c r="AD305" s="533">
        <v>0</v>
      </c>
      <c r="AE305" s="537">
        <v>34</v>
      </c>
      <c r="AF305" s="441"/>
      <c r="AG305" s="441"/>
      <c r="AH305" s="3"/>
    </row>
    <row r="306" spans="1:34" ht="94.5" customHeight="1">
      <c r="A306" s="136">
        <v>11</v>
      </c>
      <c r="B306" s="144" t="s">
        <v>366</v>
      </c>
      <c r="C306" s="534" t="s">
        <v>61</v>
      </c>
      <c r="D306" s="142" t="s">
        <v>452</v>
      </c>
      <c r="E306" s="142" t="s">
        <v>42</v>
      </c>
      <c r="F306" s="192">
        <v>7921852</v>
      </c>
      <c r="G306" s="114">
        <v>341</v>
      </c>
      <c r="H306" s="535" t="s">
        <v>421</v>
      </c>
      <c r="I306" s="173" t="s">
        <v>48</v>
      </c>
      <c r="J306" s="180" t="s">
        <v>491</v>
      </c>
      <c r="K306" s="46">
        <v>719</v>
      </c>
      <c r="L306" s="536">
        <v>19.715795</v>
      </c>
      <c r="M306" s="146"/>
      <c r="N306" s="46">
        <f t="shared" si="235"/>
        <v>300</v>
      </c>
      <c r="O306" s="533">
        <v>0</v>
      </c>
      <c r="P306" s="537">
        <v>300</v>
      </c>
      <c r="Q306" s="441"/>
      <c r="R306" s="441"/>
      <c r="S306" s="146">
        <f t="shared" si="236"/>
        <v>295.43</v>
      </c>
      <c r="T306" s="441">
        <v>0</v>
      </c>
      <c r="U306" s="370">
        <f>295430000/1000000</f>
        <v>295.43</v>
      </c>
      <c r="V306" s="457"/>
      <c r="W306" s="146"/>
      <c r="X306" s="46">
        <f t="shared" si="237"/>
        <v>300</v>
      </c>
      <c r="Y306" s="533">
        <v>0</v>
      </c>
      <c r="Z306" s="537">
        <v>300</v>
      </c>
      <c r="AA306" s="441"/>
      <c r="AB306" s="441"/>
      <c r="AC306" s="46">
        <f t="shared" si="238"/>
        <v>300</v>
      </c>
      <c r="AD306" s="533">
        <v>0</v>
      </c>
      <c r="AE306" s="537">
        <v>300</v>
      </c>
      <c r="AF306" s="441"/>
      <c r="AG306" s="441"/>
      <c r="AH306" s="3"/>
    </row>
    <row r="307" spans="1:34" ht="94.5" customHeight="1">
      <c r="A307" s="136">
        <v>12</v>
      </c>
      <c r="B307" s="144" t="s">
        <v>367</v>
      </c>
      <c r="C307" s="534" t="s">
        <v>61</v>
      </c>
      <c r="D307" s="142" t="s">
        <v>453</v>
      </c>
      <c r="E307" s="142" t="s">
        <v>42</v>
      </c>
      <c r="F307" s="192">
        <v>7921835</v>
      </c>
      <c r="G307" s="114">
        <v>132</v>
      </c>
      <c r="H307" s="535" t="s">
        <v>422</v>
      </c>
      <c r="I307" s="173" t="s">
        <v>513</v>
      </c>
      <c r="J307" s="180" t="s">
        <v>492</v>
      </c>
      <c r="K307" s="46">
        <v>2722.433</v>
      </c>
      <c r="L307" s="536">
        <v>129.63966400000001</v>
      </c>
      <c r="M307" s="146"/>
      <c r="N307" s="46">
        <f t="shared" si="235"/>
        <v>501.90899999999999</v>
      </c>
      <c r="O307" s="533">
        <v>0</v>
      </c>
      <c r="P307" s="537">
        <v>501.90899999999999</v>
      </c>
      <c r="Q307" s="441"/>
      <c r="R307" s="441"/>
      <c r="S307" s="146">
        <f t="shared" si="236"/>
        <v>501.90899999999999</v>
      </c>
      <c r="T307" s="441">
        <v>0</v>
      </c>
      <c r="U307" s="650">
        <v>501.90899999999999</v>
      </c>
      <c r="V307" s="457"/>
      <c r="W307" s="146"/>
      <c r="X307" s="46">
        <f t="shared" si="237"/>
        <v>501.90899999999999</v>
      </c>
      <c r="Y307" s="533">
        <v>0</v>
      </c>
      <c r="Z307" s="537">
        <v>501.90899999999999</v>
      </c>
      <c r="AA307" s="441"/>
      <c r="AB307" s="441"/>
      <c r="AC307" s="46">
        <f t="shared" si="238"/>
        <v>501.90899999999999</v>
      </c>
      <c r="AD307" s="533">
        <v>0</v>
      </c>
      <c r="AE307" s="537">
        <v>501.90899999999999</v>
      </c>
      <c r="AF307" s="441"/>
      <c r="AG307" s="441"/>
      <c r="AH307" s="3"/>
    </row>
    <row r="308" spans="1:34" ht="94.5" customHeight="1">
      <c r="A308" s="136">
        <v>13</v>
      </c>
      <c r="B308" s="144" t="s">
        <v>368</v>
      </c>
      <c r="C308" s="534" t="s">
        <v>61</v>
      </c>
      <c r="D308" s="142" t="s">
        <v>454</v>
      </c>
      <c r="E308" s="142" t="s">
        <v>42</v>
      </c>
      <c r="F308" s="192">
        <v>7989597</v>
      </c>
      <c r="G308" s="114">
        <v>72</v>
      </c>
      <c r="H308" s="535" t="s">
        <v>423</v>
      </c>
      <c r="I308" s="173" t="s">
        <v>48</v>
      </c>
      <c r="J308" s="180" t="s">
        <v>493</v>
      </c>
      <c r="K308" s="46">
        <v>549</v>
      </c>
      <c r="L308" s="536">
        <v>27</v>
      </c>
      <c r="M308" s="146"/>
      <c r="N308" s="46">
        <f t="shared" si="235"/>
        <v>56.898000000000003</v>
      </c>
      <c r="O308" s="533">
        <v>0</v>
      </c>
      <c r="P308" s="537">
        <v>56.898000000000003</v>
      </c>
      <c r="Q308" s="441"/>
      <c r="R308" s="441"/>
      <c r="S308" s="146">
        <f t="shared" si="236"/>
        <v>56.898000000000003</v>
      </c>
      <c r="T308" s="441">
        <v>0</v>
      </c>
      <c r="U308" s="370">
        <f>56898000/1000000</f>
        <v>56.898000000000003</v>
      </c>
      <c r="V308" s="457"/>
      <c r="W308" s="146"/>
      <c r="X308" s="46">
        <f t="shared" si="237"/>
        <v>56.898000000000003</v>
      </c>
      <c r="Y308" s="533">
        <v>0</v>
      </c>
      <c r="Z308" s="537">
        <v>56.898000000000003</v>
      </c>
      <c r="AA308" s="441"/>
      <c r="AB308" s="441"/>
      <c r="AC308" s="46">
        <f t="shared" si="238"/>
        <v>56.898000000000003</v>
      </c>
      <c r="AD308" s="533">
        <v>0</v>
      </c>
      <c r="AE308" s="537">
        <v>56.898000000000003</v>
      </c>
      <c r="AF308" s="441"/>
      <c r="AG308" s="441"/>
      <c r="AH308" s="3"/>
    </row>
    <row r="309" spans="1:34" ht="94.5" customHeight="1">
      <c r="A309" s="136">
        <v>14</v>
      </c>
      <c r="B309" s="144" t="s">
        <v>370</v>
      </c>
      <c r="C309" s="534" t="s">
        <v>61</v>
      </c>
      <c r="D309" s="142" t="s">
        <v>455</v>
      </c>
      <c r="E309" s="142" t="s">
        <v>42</v>
      </c>
      <c r="F309" s="192">
        <v>7937126</v>
      </c>
      <c r="G309" s="114">
        <v>292</v>
      </c>
      <c r="H309" s="535" t="s">
        <v>425</v>
      </c>
      <c r="I309" s="173" t="s">
        <v>48</v>
      </c>
      <c r="J309" s="180" t="s">
        <v>495</v>
      </c>
      <c r="K309" s="46">
        <v>2147.9140000000002</v>
      </c>
      <c r="L309" s="536">
        <v>130.146049</v>
      </c>
      <c r="M309" s="146"/>
      <c r="N309" s="46">
        <f t="shared" si="235"/>
        <v>681.05399999999997</v>
      </c>
      <c r="O309" s="533">
        <v>0</v>
      </c>
      <c r="P309" s="537">
        <v>681.05399999999997</v>
      </c>
      <c r="Q309" s="441"/>
      <c r="R309" s="441"/>
      <c r="S309" s="146">
        <f t="shared" si="236"/>
        <v>669.15599999999995</v>
      </c>
      <c r="T309" s="441">
        <v>0</v>
      </c>
      <c r="U309" s="370">
        <f>669156000/1000000</f>
        <v>669.15599999999995</v>
      </c>
      <c r="V309" s="457"/>
      <c r="W309" s="146"/>
      <c r="X309" s="46">
        <f t="shared" si="237"/>
        <v>681.05399999999997</v>
      </c>
      <c r="Y309" s="533">
        <v>0</v>
      </c>
      <c r="Z309" s="537">
        <v>681.05399999999997</v>
      </c>
      <c r="AA309" s="441"/>
      <c r="AB309" s="441"/>
      <c r="AC309" s="46">
        <f t="shared" si="238"/>
        <v>681.05399999999997</v>
      </c>
      <c r="AD309" s="533">
        <v>0</v>
      </c>
      <c r="AE309" s="537">
        <v>681.05399999999997</v>
      </c>
      <c r="AF309" s="441"/>
      <c r="AG309" s="441"/>
      <c r="AH309" s="3"/>
    </row>
    <row r="310" spans="1:34" ht="94.5" customHeight="1">
      <c r="A310" s="136">
        <v>15</v>
      </c>
      <c r="B310" s="144" t="s">
        <v>371</v>
      </c>
      <c r="C310" s="534" t="s">
        <v>133</v>
      </c>
      <c r="D310" s="142" t="s">
        <v>99</v>
      </c>
      <c r="E310" s="142" t="s">
        <v>42</v>
      </c>
      <c r="F310" s="192">
        <v>8036995</v>
      </c>
      <c r="G310" s="114">
        <v>11</v>
      </c>
      <c r="H310" s="535" t="s">
        <v>426</v>
      </c>
      <c r="I310" s="173" t="s">
        <v>48</v>
      </c>
      <c r="J310" s="180" t="s">
        <v>496</v>
      </c>
      <c r="K310" s="46">
        <v>2500</v>
      </c>
      <c r="L310" s="536">
        <v>79.190387000000001</v>
      </c>
      <c r="M310" s="146"/>
      <c r="N310" s="46">
        <f t="shared" si="235"/>
        <v>522.79999999999995</v>
      </c>
      <c r="O310" s="533">
        <v>0</v>
      </c>
      <c r="P310" s="537">
        <v>522.79999999999995</v>
      </c>
      <c r="Q310" s="441"/>
      <c r="R310" s="441"/>
      <c r="S310" s="146">
        <f t="shared" si="236"/>
        <v>522.66899999999998</v>
      </c>
      <c r="T310" s="441">
        <v>0</v>
      </c>
      <c r="U310" s="370">
        <f>522669000/1000000</f>
        <v>522.66899999999998</v>
      </c>
      <c r="V310" s="457"/>
      <c r="W310" s="146"/>
      <c r="X310" s="46">
        <f t="shared" si="237"/>
        <v>522.79999999999995</v>
      </c>
      <c r="Y310" s="533">
        <v>0</v>
      </c>
      <c r="Z310" s="537">
        <v>522.79999999999995</v>
      </c>
      <c r="AA310" s="441"/>
      <c r="AB310" s="441"/>
      <c r="AC310" s="46">
        <f t="shared" si="238"/>
        <v>522.79999999999995</v>
      </c>
      <c r="AD310" s="533">
        <v>0</v>
      </c>
      <c r="AE310" s="537">
        <v>522.79999999999995</v>
      </c>
      <c r="AF310" s="441"/>
      <c r="AG310" s="441"/>
      <c r="AH310" s="3"/>
    </row>
    <row r="311" spans="1:34" ht="94.5" customHeight="1">
      <c r="A311" s="136">
        <v>16</v>
      </c>
      <c r="B311" s="144" t="s">
        <v>372</v>
      </c>
      <c r="C311" s="534" t="s">
        <v>61</v>
      </c>
      <c r="D311" s="142" t="s">
        <v>66</v>
      </c>
      <c r="E311" s="142" t="s">
        <v>456</v>
      </c>
      <c r="F311" s="192">
        <v>8036001</v>
      </c>
      <c r="G311" s="114">
        <v>351</v>
      </c>
      <c r="H311" s="535" t="s">
        <v>427</v>
      </c>
      <c r="I311" s="173" t="s">
        <v>80</v>
      </c>
      <c r="J311" s="180" t="s">
        <v>497</v>
      </c>
      <c r="K311" s="46">
        <v>12508</v>
      </c>
      <c r="L311" s="536">
        <v>595</v>
      </c>
      <c r="M311" s="146"/>
      <c r="N311" s="46">
        <f t="shared" si="235"/>
        <v>5623</v>
      </c>
      <c r="O311" s="533">
        <v>0</v>
      </c>
      <c r="P311" s="537">
        <v>5623</v>
      </c>
      <c r="Q311" s="441"/>
      <c r="R311" s="441"/>
      <c r="S311" s="146">
        <f t="shared" si="236"/>
        <v>5564.28</v>
      </c>
      <c r="T311" s="441">
        <v>0</v>
      </c>
      <c r="U311" s="370">
        <f>5564280000/1000000</f>
        <v>5564.28</v>
      </c>
      <c r="V311" s="457"/>
      <c r="W311" s="146"/>
      <c r="X311" s="46">
        <f t="shared" si="237"/>
        <v>5623</v>
      </c>
      <c r="Y311" s="533">
        <v>0</v>
      </c>
      <c r="Z311" s="537">
        <v>5623</v>
      </c>
      <c r="AA311" s="441"/>
      <c r="AB311" s="441"/>
      <c r="AC311" s="46">
        <f t="shared" si="238"/>
        <v>5623</v>
      </c>
      <c r="AD311" s="533">
        <v>0</v>
      </c>
      <c r="AE311" s="537">
        <v>5623</v>
      </c>
      <c r="AF311" s="441"/>
      <c r="AG311" s="441"/>
      <c r="AH311" s="3"/>
    </row>
    <row r="312" spans="1:34" ht="94.5" customHeight="1">
      <c r="A312" s="136">
        <v>17</v>
      </c>
      <c r="B312" s="144" t="s">
        <v>373</v>
      </c>
      <c r="C312" s="534" t="s">
        <v>61</v>
      </c>
      <c r="D312" s="142" t="s">
        <v>443</v>
      </c>
      <c r="E312" s="142" t="s">
        <v>456</v>
      </c>
      <c r="F312" s="192">
        <v>7917537</v>
      </c>
      <c r="G312" s="114">
        <v>292</v>
      </c>
      <c r="H312" s="535" t="s">
        <v>428</v>
      </c>
      <c r="I312" s="173" t="s">
        <v>153</v>
      </c>
      <c r="J312" s="180" t="s">
        <v>498</v>
      </c>
      <c r="K312" s="46">
        <v>1710.998</v>
      </c>
      <c r="L312" s="536">
        <v>128.645263</v>
      </c>
      <c r="M312" s="146"/>
      <c r="N312" s="46">
        <f t="shared" si="235"/>
        <v>25.280999999999999</v>
      </c>
      <c r="O312" s="533">
        <v>0</v>
      </c>
      <c r="P312" s="537">
        <v>25.280999999999999</v>
      </c>
      <c r="Q312" s="441"/>
      <c r="R312" s="441"/>
      <c r="S312" s="146">
        <f t="shared" si="236"/>
        <v>25.280999999999999</v>
      </c>
      <c r="T312" s="441">
        <v>0</v>
      </c>
      <c r="U312" s="370">
        <f>25281000/1000000</f>
        <v>25.280999999999999</v>
      </c>
      <c r="V312" s="457"/>
      <c r="W312" s="146"/>
      <c r="X312" s="46">
        <f t="shared" si="237"/>
        <v>25.280999999999999</v>
      </c>
      <c r="Y312" s="533">
        <v>0</v>
      </c>
      <c r="Z312" s="537">
        <v>25.280999999999999</v>
      </c>
      <c r="AA312" s="441"/>
      <c r="AB312" s="441"/>
      <c r="AC312" s="46">
        <f t="shared" si="238"/>
        <v>25.280999999999999</v>
      </c>
      <c r="AD312" s="533">
        <v>0</v>
      </c>
      <c r="AE312" s="537">
        <v>25.280999999999999</v>
      </c>
      <c r="AF312" s="441"/>
      <c r="AG312" s="441"/>
      <c r="AH312" s="3"/>
    </row>
    <row r="313" spans="1:34" ht="94.5" customHeight="1">
      <c r="A313" s="136">
        <v>18</v>
      </c>
      <c r="B313" s="144" t="s">
        <v>374</v>
      </c>
      <c r="C313" s="534" t="s">
        <v>61</v>
      </c>
      <c r="D313" s="142" t="s">
        <v>457</v>
      </c>
      <c r="E313" s="142" t="s">
        <v>456</v>
      </c>
      <c r="F313" s="192">
        <v>8037983</v>
      </c>
      <c r="G313" s="114">
        <v>11</v>
      </c>
      <c r="H313" s="535" t="s">
        <v>429</v>
      </c>
      <c r="I313" s="173" t="s">
        <v>80</v>
      </c>
      <c r="J313" s="180" t="s">
        <v>499</v>
      </c>
      <c r="K313" s="46">
        <v>3479</v>
      </c>
      <c r="L313" s="536">
        <v>146</v>
      </c>
      <c r="M313" s="146"/>
      <c r="N313" s="46">
        <f t="shared" si="235"/>
        <v>1390.7909999999999</v>
      </c>
      <c r="O313" s="533">
        <v>0</v>
      </c>
      <c r="P313" s="537">
        <v>1390.7909999999999</v>
      </c>
      <c r="Q313" s="441"/>
      <c r="R313" s="441"/>
      <c r="S313" s="146">
        <f t="shared" si="236"/>
        <v>1390.7909999999999</v>
      </c>
      <c r="T313" s="441">
        <v>0</v>
      </c>
      <c r="U313" s="537">
        <v>1390.7909999999999</v>
      </c>
      <c r="V313" s="457"/>
      <c r="W313" s="146"/>
      <c r="X313" s="46">
        <f t="shared" si="237"/>
        <v>1390.7909999999999</v>
      </c>
      <c r="Y313" s="533">
        <v>0</v>
      </c>
      <c r="Z313" s="537">
        <v>1390.7909999999999</v>
      </c>
      <c r="AA313" s="441"/>
      <c r="AB313" s="441"/>
      <c r="AC313" s="46">
        <f t="shared" si="238"/>
        <v>1390.7909999999999</v>
      </c>
      <c r="AD313" s="533">
        <v>0</v>
      </c>
      <c r="AE313" s="537">
        <v>1390.7909999999999</v>
      </c>
      <c r="AF313" s="441"/>
      <c r="AG313" s="441"/>
      <c r="AH313" s="3"/>
    </row>
    <row r="314" spans="1:34" ht="94.5" customHeight="1">
      <c r="A314" s="136">
        <v>19</v>
      </c>
      <c r="B314" s="144" t="s">
        <v>375</v>
      </c>
      <c r="C314" s="534" t="s">
        <v>61</v>
      </c>
      <c r="D314" s="142" t="s">
        <v>102</v>
      </c>
      <c r="E314" s="142" t="s">
        <v>42</v>
      </c>
      <c r="F314" s="192">
        <v>8037158</v>
      </c>
      <c r="G314" s="114">
        <v>11</v>
      </c>
      <c r="H314" s="535" t="s">
        <v>429</v>
      </c>
      <c r="I314" s="173" t="s">
        <v>80</v>
      </c>
      <c r="J314" s="180" t="s">
        <v>500</v>
      </c>
      <c r="K314" s="46">
        <v>2920</v>
      </c>
      <c r="L314" s="536">
        <v>139</v>
      </c>
      <c r="M314" s="146"/>
      <c r="N314" s="46">
        <f t="shared" si="235"/>
        <v>560</v>
      </c>
      <c r="O314" s="533">
        <v>250</v>
      </c>
      <c r="P314" s="537">
        <v>310</v>
      </c>
      <c r="Q314" s="441"/>
      <c r="R314" s="441"/>
      <c r="S314" s="146">
        <f>SUM(T314:W314)</f>
        <v>560</v>
      </c>
      <c r="T314" s="441">
        <v>250</v>
      </c>
      <c r="U314" s="537">
        <v>310</v>
      </c>
      <c r="V314" s="457"/>
      <c r="W314" s="146"/>
      <c r="X314" s="46">
        <f t="shared" si="237"/>
        <v>560</v>
      </c>
      <c r="Y314" s="533">
        <v>250</v>
      </c>
      <c r="Z314" s="537">
        <v>310</v>
      </c>
      <c r="AA314" s="441"/>
      <c r="AB314" s="441"/>
      <c r="AC314" s="46">
        <f t="shared" si="238"/>
        <v>560</v>
      </c>
      <c r="AD314" s="533">
        <v>250</v>
      </c>
      <c r="AE314" s="537">
        <v>310</v>
      </c>
      <c r="AF314" s="441"/>
      <c r="AG314" s="441"/>
      <c r="AH314" s="3"/>
    </row>
    <row r="315" spans="1:34" s="139" customFormat="1" ht="94.5" customHeight="1">
      <c r="A315" s="136">
        <v>20</v>
      </c>
      <c r="B315" s="144" t="s">
        <v>376</v>
      </c>
      <c r="C315" s="618" t="s">
        <v>61</v>
      </c>
      <c r="D315" s="142" t="s">
        <v>458</v>
      </c>
      <c r="E315" s="142" t="s">
        <v>456</v>
      </c>
      <c r="F315" s="610">
        <v>8036993</v>
      </c>
      <c r="G315" s="611">
        <v>11</v>
      </c>
      <c r="H315" s="619" t="s">
        <v>429</v>
      </c>
      <c r="I315" s="255" t="s">
        <v>80</v>
      </c>
      <c r="J315" s="620" t="s">
        <v>501</v>
      </c>
      <c r="K315" s="146">
        <v>3183</v>
      </c>
      <c r="L315" s="621">
        <v>151</v>
      </c>
      <c r="M315" s="146"/>
      <c r="N315" s="146">
        <f t="shared" si="235"/>
        <v>710</v>
      </c>
      <c r="O315" s="151">
        <v>0</v>
      </c>
      <c r="P315" s="622">
        <v>710</v>
      </c>
      <c r="Q315" s="146"/>
      <c r="R315" s="146"/>
      <c r="S315" s="146">
        <f t="shared" si="236"/>
        <v>710</v>
      </c>
      <c r="T315" s="146">
        <v>0</v>
      </c>
      <c r="U315" s="622">
        <v>710</v>
      </c>
      <c r="V315" s="148"/>
      <c r="W315" s="146"/>
      <c r="X315" s="146">
        <f t="shared" si="237"/>
        <v>710</v>
      </c>
      <c r="Y315" s="151">
        <v>0</v>
      </c>
      <c r="Z315" s="622">
        <v>710</v>
      </c>
      <c r="AA315" s="146"/>
      <c r="AB315" s="146"/>
      <c r="AC315" s="146">
        <f t="shared" si="238"/>
        <v>710</v>
      </c>
      <c r="AD315" s="151">
        <v>0</v>
      </c>
      <c r="AE315" s="622">
        <v>710</v>
      </c>
      <c r="AF315" s="146"/>
      <c r="AG315" s="146"/>
      <c r="AH315" s="138"/>
    </row>
    <row r="316" spans="1:34" s="139" customFormat="1" ht="94.5" customHeight="1">
      <c r="A316" s="136">
        <v>21</v>
      </c>
      <c r="B316" s="144" t="s">
        <v>377</v>
      </c>
      <c r="C316" s="618" t="s">
        <v>61</v>
      </c>
      <c r="D316" s="142" t="s">
        <v>93</v>
      </c>
      <c r="E316" s="142" t="s">
        <v>456</v>
      </c>
      <c r="F316" s="610">
        <v>8036994</v>
      </c>
      <c r="G316" s="611">
        <v>11</v>
      </c>
      <c r="H316" s="619" t="s">
        <v>430</v>
      </c>
      <c r="I316" s="255" t="s">
        <v>80</v>
      </c>
      <c r="J316" s="620" t="s">
        <v>502</v>
      </c>
      <c r="K316" s="146">
        <v>3362</v>
      </c>
      <c r="L316" s="621">
        <v>168</v>
      </c>
      <c r="M316" s="146"/>
      <c r="N316" s="146">
        <f t="shared" si="235"/>
        <v>1280</v>
      </c>
      <c r="O316" s="151">
        <v>0</v>
      </c>
      <c r="P316" s="622">
        <v>1280</v>
      </c>
      <c r="Q316" s="146"/>
      <c r="R316" s="146"/>
      <c r="S316" s="146">
        <f t="shared" si="236"/>
        <v>1280</v>
      </c>
      <c r="T316" s="146">
        <v>0</v>
      </c>
      <c r="U316" s="622">
        <v>1280</v>
      </c>
      <c r="V316" s="148"/>
      <c r="W316" s="146"/>
      <c r="X316" s="146">
        <f t="shared" si="237"/>
        <v>1280</v>
      </c>
      <c r="Y316" s="151">
        <v>0</v>
      </c>
      <c r="Z316" s="622">
        <v>1280</v>
      </c>
      <c r="AA316" s="146"/>
      <c r="AB316" s="146"/>
      <c r="AC316" s="146">
        <f t="shared" si="238"/>
        <v>1280</v>
      </c>
      <c r="AD316" s="151">
        <v>0</v>
      </c>
      <c r="AE316" s="622">
        <v>1280</v>
      </c>
      <c r="AF316" s="146"/>
      <c r="AG316" s="146"/>
      <c r="AH316" s="138"/>
    </row>
    <row r="317" spans="1:34" ht="94.5" customHeight="1">
      <c r="A317" s="136">
        <v>22</v>
      </c>
      <c r="B317" s="144" t="s">
        <v>378</v>
      </c>
      <c r="C317" s="534" t="s">
        <v>61</v>
      </c>
      <c r="D317" s="142" t="s">
        <v>130</v>
      </c>
      <c r="E317" s="142" t="s">
        <v>456</v>
      </c>
      <c r="F317" s="192">
        <v>8036992</v>
      </c>
      <c r="G317" s="114">
        <v>11</v>
      </c>
      <c r="H317" s="535" t="s">
        <v>431</v>
      </c>
      <c r="I317" s="173" t="s">
        <v>80</v>
      </c>
      <c r="J317" s="180" t="s">
        <v>501</v>
      </c>
      <c r="K317" s="46">
        <v>1343</v>
      </c>
      <c r="L317" s="536">
        <v>63</v>
      </c>
      <c r="M317" s="146"/>
      <c r="N317" s="46">
        <f t="shared" si="235"/>
        <v>30</v>
      </c>
      <c r="O317" s="533">
        <v>0</v>
      </c>
      <c r="P317" s="537">
        <v>30</v>
      </c>
      <c r="Q317" s="441"/>
      <c r="R317" s="441"/>
      <c r="S317" s="146">
        <f t="shared" si="236"/>
        <v>30</v>
      </c>
      <c r="T317" s="441">
        <v>0</v>
      </c>
      <c r="U317" s="537">
        <v>30</v>
      </c>
      <c r="V317" s="457"/>
      <c r="W317" s="146"/>
      <c r="X317" s="46">
        <f t="shared" si="237"/>
        <v>30</v>
      </c>
      <c r="Y317" s="533">
        <v>0</v>
      </c>
      <c r="Z317" s="537">
        <v>30</v>
      </c>
      <c r="AA317" s="441"/>
      <c r="AB317" s="441"/>
      <c r="AC317" s="46">
        <f t="shared" si="238"/>
        <v>30</v>
      </c>
      <c r="AD317" s="533">
        <v>0</v>
      </c>
      <c r="AE317" s="537">
        <v>30</v>
      </c>
      <c r="AF317" s="441"/>
      <c r="AG317" s="441"/>
      <c r="AH317" s="3"/>
    </row>
    <row r="318" spans="1:34" ht="94.5" customHeight="1">
      <c r="A318" s="136">
        <v>23</v>
      </c>
      <c r="B318" s="144" t="s">
        <v>379</v>
      </c>
      <c r="C318" s="534" t="s">
        <v>61</v>
      </c>
      <c r="D318" s="142" t="s">
        <v>41</v>
      </c>
      <c r="E318" s="142" t="s">
        <v>456</v>
      </c>
      <c r="F318" s="192">
        <v>7922190</v>
      </c>
      <c r="G318" s="114">
        <v>292</v>
      </c>
      <c r="H318" s="535" t="s">
        <v>432</v>
      </c>
      <c r="I318" s="173" t="s">
        <v>153</v>
      </c>
      <c r="J318" s="180" t="s">
        <v>503</v>
      </c>
      <c r="K318" s="46">
        <v>11846</v>
      </c>
      <c r="L318" s="536">
        <v>890</v>
      </c>
      <c r="M318" s="146"/>
      <c r="N318" s="46">
        <f t="shared" si="235"/>
        <v>3049</v>
      </c>
      <c r="O318" s="533">
        <v>0</v>
      </c>
      <c r="P318" s="537">
        <v>3049</v>
      </c>
      <c r="Q318" s="441"/>
      <c r="R318" s="441"/>
      <c r="S318" s="146">
        <f t="shared" si="236"/>
        <v>3049</v>
      </c>
      <c r="T318" s="441">
        <v>0</v>
      </c>
      <c r="U318" s="537">
        <v>3049</v>
      </c>
      <c r="V318" s="457"/>
      <c r="W318" s="146"/>
      <c r="X318" s="46">
        <f t="shared" si="237"/>
        <v>3049</v>
      </c>
      <c r="Y318" s="533">
        <v>0</v>
      </c>
      <c r="Z318" s="537">
        <v>3049</v>
      </c>
      <c r="AA318" s="441"/>
      <c r="AB318" s="441"/>
      <c r="AC318" s="46">
        <f t="shared" si="238"/>
        <v>3049</v>
      </c>
      <c r="AD318" s="533">
        <v>0</v>
      </c>
      <c r="AE318" s="537">
        <v>3049</v>
      </c>
      <c r="AF318" s="441"/>
      <c r="AG318" s="441"/>
      <c r="AH318" s="3"/>
    </row>
    <row r="319" spans="1:34" ht="94.5" customHeight="1">
      <c r="A319" s="136">
        <v>24</v>
      </c>
      <c r="B319" s="144" t="s">
        <v>380</v>
      </c>
      <c r="C319" s="534" t="s">
        <v>61</v>
      </c>
      <c r="D319" s="142" t="s">
        <v>129</v>
      </c>
      <c r="E319" s="142" t="s">
        <v>456</v>
      </c>
      <c r="F319" s="192">
        <v>7874724</v>
      </c>
      <c r="G319" s="114">
        <v>292</v>
      </c>
      <c r="H319" s="535" t="s">
        <v>433</v>
      </c>
      <c r="I319" s="173" t="s">
        <v>153</v>
      </c>
      <c r="J319" s="180" t="s">
        <v>504</v>
      </c>
      <c r="K319" s="46">
        <v>1091</v>
      </c>
      <c r="L319" s="536">
        <v>66.114638999999997</v>
      </c>
      <c r="M319" s="146"/>
      <c r="N319" s="46">
        <f t="shared" si="235"/>
        <v>146.012</v>
      </c>
      <c r="O319" s="533">
        <v>0</v>
      </c>
      <c r="P319" s="537">
        <v>146.012</v>
      </c>
      <c r="Q319" s="441"/>
      <c r="R319" s="441"/>
      <c r="S319" s="146">
        <f t="shared" si="236"/>
        <v>146.012</v>
      </c>
      <c r="T319" s="441">
        <v>0</v>
      </c>
      <c r="U319" s="537">
        <v>146.012</v>
      </c>
      <c r="V319" s="457"/>
      <c r="W319" s="146"/>
      <c r="X319" s="46">
        <f t="shared" si="237"/>
        <v>146.012</v>
      </c>
      <c r="Y319" s="533">
        <v>0</v>
      </c>
      <c r="Z319" s="537">
        <v>146.012</v>
      </c>
      <c r="AA319" s="441"/>
      <c r="AB319" s="441"/>
      <c r="AC319" s="46">
        <f t="shared" si="238"/>
        <v>146.012</v>
      </c>
      <c r="AD319" s="533">
        <v>0</v>
      </c>
      <c r="AE319" s="537">
        <v>146.012</v>
      </c>
      <c r="AF319" s="441"/>
      <c r="AG319" s="441"/>
      <c r="AH319" s="3"/>
    </row>
    <row r="320" spans="1:34" ht="94.5" customHeight="1">
      <c r="A320" s="136">
        <v>25</v>
      </c>
      <c r="B320" s="144" t="s">
        <v>381</v>
      </c>
      <c r="C320" s="534" t="s">
        <v>61</v>
      </c>
      <c r="D320" s="142" t="s">
        <v>129</v>
      </c>
      <c r="E320" s="142" t="s">
        <v>456</v>
      </c>
      <c r="F320" s="192">
        <v>7871646</v>
      </c>
      <c r="G320" s="114">
        <v>292</v>
      </c>
      <c r="H320" s="535" t="s">
        <v>434</v>
      </c>
      <c r="I320" s="173" t="s">
        <v>153</v>
      </c>
      <c r="J320" s="180" t="s">
        <v>505</v>
      </c>
      <c r="K320" s="46">
        <v>1091</v>
      </c>
      <c r="L320" s="536">
        <v>66.102221000000014</v>
      </c>
      <c r="M320" s="146"/>
      <c r="N320" s="46">
        <f t="shared" si="235"/>
        <v>154.54400000000001</v>
      </c>
      <c r="O320" s="533"/>
      <c r="P320" s="537">
        <v>154.54400000000001</v>
      </c>
      <c r="Q320" s="441"/>
      <c r="R320" s="441"/>
      <c r="S320" s="146">
        <f t="shared" si="236"/>
        <v>154.54400000000001</v>
      </c>
      <c r="T320" s="441"/>
      <c r="U320" s="537">
        <v>154.54400000000001</v>
      </c>
      <c r="V320" s="457"/>
      <c r="W320" s="146"/>
      <c r="X320" s="46">
        <f t="shared" si="237"/>
        <v>154.54400000000001</v>
      </c>
      <c r="Y320" s="533"/>
      <c r="Z320" s="537">
        <v>154.54400000000001</v>
      </c>
      <c r="AA320" s="441"/>
      <c r="AB320" s="441"/>
      <c r="AC320" s="46">
        <f t="shared" si="238"/>
        <v>154.54400000000001</v>
      </c>
      <c r="AD320" s="533"/>
      <c r="AE320" s="537">
        <v>154.54400000000001</v>
      </c>
      <c r="AF320" s="441"/>
      <c r="AG320" s="441"/>
      <c r="AH320" s="3"/>
    </row>
    <row r="321" spans="1:34" ht="94.5" customHeight="1">
      <c r="A321" s="136">
        <v>26</v>
      </c>
      <c r="B321" s="144" t="s">
        <v>382</v>
      </c>
      <c r="C321" s="534" t="s">
        <v>61</v>
      </c>
      <c r="D321" s="142" t="s">
        <v>129</v>
      </c>
      <c r="E321" s="142" t="s">
        <v>456</v>
      </c>
      <c r="F321" s="192">
        <v>7923067</v>
      </c>
      <c r="G321" s="114">
        <v>292</v>
      </c>
      <c r="H321" s="535" t="s">
        <v>435</v>
      </c>
      <c r="I321" s="173" t="s">
        <v>153</v>
      </c>
      <c r="J321" s="180" t="s">
        <v>506</v>
      </c>
      <c r="K321" s="46">
        <v>2264</v>
      </c>
      <c r="L321" s="536">
        <v>129.74353400000001</v>
      </c>
      <c r="M321" s="146"/>
      <c r="N321" s="46">
        <f t="shared" si="235"/>
        <v>190.24100000000001</v>
      </c>
      <c r="O321" s="533"/>
      <c r="P321" s="537">
        <v>190.24100000000001</v>
      </c>
      <c r="Q321" s="441"/>
      <c r="R321" s="441"/>
      <c r="S321" s="146">
        <f t="shared" si="236"/>
        <v>190.24100000000001</v>
      </c>
      <c r="T321" s="441"/>
      <c r="U321" s="537">
        <v>190.24100000000001</v>
      </c>
      <c r="V321" s="457"/>
      <c r="W321" s="146"/>
      <c r="X321" s="46">
        <f t="shared" si="237"/>
        <v>190.24100000000001</v>
      </c>
      <c r="Y321" s="533"/>
      <c r="Z321" s="537">
        <v>190.24100000000001</v>
      </c>
      <c r="AA321" s="441"/>
      <c r="AB321" s="441"/>
      <c r="AC321" s="46">
        <f t="shared" si="238"/>
        <v>190.24100000000001</v>
      </c>
      <c r="AD321" s="533"/>
      <c r="AE321" s="537">
        <v>190.24100000000001</v>
      </c>
      <c r="AF321" s="441"/>
      <c r="AG321" s="441"/>
      <c r="AH321" s="3"/>
    </row>
    <row r="322" spans="1:34" s="139" customFormat="1" ht="94.5" customHeight="1">
      <c r="A322" s="136">
        <v>27</v>
      </c>
      <c r="B322" s="144" t="s">
        <v>383</v>
      </c>
      <c r="C322" s="618" t="s">
        <v>61</v>
      </c>
      <c r="D322" s="142" t="s">
        <v>70</v>
      </c>
      <c r="E322" s="142" t="s">
        <v>456</v>
      </c>
      <c r="F322" s="610">
        <v>8053310</v>
      </c>
      <c r="G322" s="611">
        <v>11</v>
      </c>
      <c r="H322" s="619" t="s">
        <v>431</v>
      </c>
      <c r="I322" s="255" t="s">
        <v>80</v>
      </c>
      <c r="J322" s="620" t="s">
        <v>507</v>
      </c>
      <c r="K322" s="146">
        <v>3225.38</v>
      </c>
      <c r="L322" s="621">
        <v>161.26900000000001</v>
      </c>
      <c r="M322" s="146"/>
      <c r="N322" s="146">
        <f t="shared" si="235"/>
        <v>2325</v>
      </c>
      <c r="O322" s="151"/>
      <c r="P322" s="622">
        <v>2325</v>
      </c>
      <c r="Q322" s="146"/>
      <c r="R322" s="146"/>
      <c r="S322" s="146">
        <f t="shared" si="236"/>
        <v>2325</v>
      </c>
      <c r="T322" s="146"/>
      <c r="U322" s="622">
        <v>2325</v>
      </c>
      <c r="V322" s="148"/>
      <c r="W322" s="146"/>
      <c r="X322" s="146">
        <f t="shared" si="237"/>
        <v>2325</v>
      </c>
      <c r="Y322" s="151"/>
      <c r="Z322" s="622">
        <v>2325</v>
      </c>
      <c r="AA322" s="146"/>
      <c r="AB322" s="146"/>
      <c r="AC322" s="146">
        <f t="shared" si="238"/>
        <v>2325</v>
      </c>
      <c r="AD322" s="151"/>
      <c r="AE322" s="622">
        <v>2325</v>
      </c>
      <c r="AF322" s="146"/>
      <c r="AG322" s="146"/>
      <c r="AH322" s="138"/>
    </row>
    <row r="323" spans="1:34" s="139" customFormat="1" ht="94.5" customHeight="1">
      <c r="A323" s="136">
        <v>28</v>
      </c>
      <c r="B323" s="144" t="s">
        <v>384</v>
      </c>
      <c r="C323" s="618" t="s">
        <v>61</v>
      </c>
      <c r="D323" s="142" t="s">
        <v>459</v>
      </c>
      <c r="E323" s="142" t="s">
        <v>456</v>
      </c>
      <c r="F323" s="610">
        <v>8053309</v>
      </c>
      <c r="G323" s="611">
        <v>292</v>
      </c>
      <c r="H323" s="619" t="s">
        <v>436</v>
      </c>
      <c r="I323" s="255" t="s">
        <v>80</v>
      </c>
      <c r="J323" s="620" t="s">
        <v>508</v>
      </c>
      <c r="K323" s="146">
        <v>551.47299999999996</v>
      </c>
      <c r="L323" s="621">
        <v>26.260655</v>
      </c>
      <c r="M323" s="146"/>
      <c r="N323" s="146">
        <f t="shared" si="235"/>
        <v>17.59</v>
      </c>
      <c r="O323" s="151"/>
      <c r="P323" s="622">
        <v>17.59</v>
      </c>
      <c r="Q323" s="146"/>
      <c r="R323" s="146"/>
      <c r="S323" s="146">
        <f t="shared" si="236"/>
        <v>17.59</v>
      </c>
      <c r="T323" s="146"/>
      <c r="U323" s="622">
        <v>17.59</v>
      </c>
      <c r="V323" s="148"/>
      <c r="W323" s="146"/>
      <c r="X323" s="146">
        <f t="shared" si="237"/>
        <v>17.59</v>
      </c>
      <c r="Y323" s="151"/>
      <c r="Z323" s="622">
        <v>17.59</v>
      </c>
      <c r="AA323" s="146"/>
      <c r="AB323" s="146"/>
      <c r="AC323" s="146">
        <f t="shared" si="238"/>
        <v>17.59</v>
      </c>
      <c r="AD323" s="151"/>
      <c r="AE323" s="622">
        <v>17.59</v>
      </c>
      <c r="AF323" s="146"/>
      <c r="AG323" s="146"/>
      <c r="AH323" s="138"/>
    </row>
    <row r="324" spans="1:34" s="139" customFormat="1" ht="94.5" customHeight="1">
      <c r="A324" s="136">
        <v>29</v>
      </c>
      <c r="B324" s="144" t="s">
        <v>385</v>
      </c>
      <c r="C324" s="618" t="s">
        <v>61</v>
      </c>
      <c r="D324" s="142" t="s">
        <v>455</v>
      </c>
      <c r="E324" s="142" t="s">
        <v>456</v>
      </c>
      <c r="F324" s="610">
        <v>8053965</v>
      </c>
      <c r="G324" s="611">
        <v>292</v>
      </c>
      <c r="H324" s="619" t="s">
        <v>437</v>
      </c>
      <c r="I324" s="255" t="s">
        <v>80</v>
      </c>
      <c r="J324" s="620" t="s">
        <v>509</v>
      </c>
      <c r="K324" s="146">
        <v>1181.9349999999999</v>
      </c>
      <c r="L324" s="621">
        <v>45.459046999999998</v>
      </c>
      <c r="M324" s="146"/>
      <c r="N324" s="146">
        <f t="shared" si="235"/>
        <v>232.36</v>
      </c>
      <c r="O324" s="151"/>
      <c r="P324" s="622">
        <v>232.36</v>
      </c>
      <c r="Q324" s="146"/>
      <c r="R324" s="146"/>
      <c r="S324" s="146">
        <f t="shared" si="236"/>
        <v>232.36</v>
      </c>
      <c r="T324" s="146"/>
      <c r="U324" s="622">
        <v>232.36</v>
      </c>
      <c r="V324" s="148"/>
      <c r="W324" s="146"/>
      <c r="X324" s="146">
        <f t="shared" si="237"/>
        <v>232.36</v>
      </c>
      <c r="Y324" s="151"/>
      <c r="Z324" s="622">
        <v>232.36</v>
      </c>
      <c r="AA324" s="146"/>
      <c r="AB324" s="146"/>
      <c r="AC324" s="146">
        <f t="shared" si="238"/>
        <v>232.36</v>
      </c>
      <c r="AD324" s="151"/>
      <c r="AE324" s="622">
        <v>232.36</v>
      </c>
      <c r="AF324" s="146"/>
      <c r="AG324" s="146"/>
      <c r="AH324" s="138"/>
    </row>
    <row r="325" spans="1:34" ht="94.5" customHeight="1">
      <c r="A325" s="136">
        <v>30</v>
      </c>
      <c r="B325" s="144" t="s">
        <v>386</v>
      </c>
      <c r="C325" s="534" t="s">
        <v>61</v>
      </c>
      <c r="D325" s="142" t="s">
        <v>102</v>
      </c>
      <c r="E325" s="142" t="s">
        <v>456</v>
      </c>
      <c r="F325" s="192">
        <v>8049059</v>
      </c>
      <c r="G325" s="114">
        <v>311</v>
      </c>
      <c r="H325" s="535" t="s">
        <v>438</v>
      </c>
      <c r="I325" s="173" t="s">
        <v>80</v>
      </c>
      <c r="J325" s="180" t="s">
        <v>510</v>
      </c>
      <c r="K325" s="46">
        <v>138</v>
      </c>
      <c r="L325" s="536">
        <v>6</v>
      </c>
      <c r="M325" s="146"/>
      <c r="N325" s="46">
        <f t="shared" si="235"/>
        <v>10</v>
      </c>
      <c r="O325" s="533"/>
      <c r="P325" s="537">
        <v>10</v>
      </c>
      <c r="Q325" s="441"/>
      <c r="R325" s="441"/>
      <c r="S325" s="146">
        <f t="shared" si="236"/>
        <v>10</v>
      </c>
      <c r="T325" s="441"/>
      <c r="U325" s="537">
        <v>10</v>
      </c>
      <c r="V325" s="457"/>
      <c r="W325" s="146"/>
      <c r="X325" s="46">
        <f t="shared" si="237"/>
        <v>10</v>
      </c>
      <c r="Y325" s="533"/>
      <c r="Z325" s="537">
        <v>10</v>
      </c>
      <c r="AA325" s="441"/>
      <c r="AB325" s="441"/>
      <c r="AC325" s="46">
        <f t="shared" si="238"/>
        <v>10</v>
      </c>
      <c r="AD325" s="533"/>
      <c r="AE325" s="537">
        <v>10</v>
      </c>
      <c r="AF325" s="441"/>
      <c r="AG325" s="441"/>
      <c r="AH325" s="3"/>
    </row>
    <row r="326" spans="1:34" ht="94.5" customHeight="1">
      <c r="A326" s="136">
        <v>31</v>
      </c>
      <c r="B326" s="144" t="s">
        <v>601</v>
      </c>
      <c r="C326" s="534" t="s">
        <v>61</v>
      </c>
      <c r="D326" s="142" t="s">
        <v>603</v>
      </c>
      <c r="E326" s="142" t="s">
        <v>456</v>
      </c>
      <c r="F326" s="192">
        <v>7921834</v>
      </c>
      <c r="G326" s="114">
        <v>321</v>
      </c>
      <c r="H326" s="535" t="s">
        <v>605</v>
      </c>
      <c r="I326" s="173" t="s">
        <v>604</v>
      </c>
      <c r="J326" s="180" t="s">
        <v>614</v>
      </c>
      <c r="K326" s="46">
        <v>2053.152</v>
      </c>
      <c r="L326" s="536"/>
      <c r="M326" s="146"/>
      <c r="N326" s="46">
        <f t="shared" si="235"/>
        <v>11.635999999999999</v>
      </c>
      <c r="O326" s="533"/>
      <c r="P326" s="537">
        <v>11.635999999999999</v>
      </c>
      <c r="Q326" s="441"/>
      <c r="R326" s="441"/>
      <c r="S326" s="146">
        <f t="shared" si="236"/>
        <v>11.635999999999999</v>
      </c>
      <c r="T326" s="441"/>
      <c r="U326" s="537">
        <v>11.635999999999999</v>
      </c>
      <c r="V326" s="457"/>
      <c r="W326" s="146"/>
      <c r="X326" s="46">
        <f t="shared" si="237"/>
        <v>11.635999999999999</v>
      </c>
      <c r="Y326" s="533"/>
      <c r="Z326" s="537">
        <v>11.635999999999999</v>
      </c>
      <c r="AA326" s="441"/>
      <c r="AB326" s="441"/>
      <c r="AC326" s="46">
        <f t="shared" si="238"/>
        <v>11.635999999999999</v>
      </c>
      <c r="AD326" s="533"/>
      <c r="AE326" s="537">
        <v>11.635999999999999</v>
      </c>
      <c r="AF326" s="441"/>
      <c r="AG326" s="441"/>
      <c r="AH326" s="3"/>
    </row>
    <row r="327" spans="1:34" ht="94.5" customHeight="1">
      <c r="A327" s="136">
        <v>32</v>
      </c>
      <c r="B327" s="144" t="s">
        <v>602</v>
      </c>
      <c r="C327" s="534" t="s">
        <v>61</v>
      </c>
      <c r="D327" s="142" t="s">
        <v>100</v>
      </c>
      <c r="E327" s="142" t="s">
        <v>456</v>
      </c>
      <c r="F327" s="192">
        <v>7922907</v>
      </c>
      <c r="G327" s="114">
        <v>161</v>
      </c>
      <c r="H327" s="535" t="s">
        <v>606</v>
      </c>
      <c r="I327" s="173" t="s">
        <v>48</v>
      </c>
      <c r="J327" s="180" t="s">
        <v>615</v>
      </c>
      <c r="K327" s="46">
        <v>3322.5709999999999</v>
      </c>
      <c r="L327" s="536"/>
      <c r="M327" s="146"/>
      <c r="N327" s="46">
        <f t="shared" si="235"/>
        <v>18.831</v>
      </c>
      <c r="O327" s="533"/>
      <c r="P327" s="537">
        <v>18.831</v>
      </c>
      <c r="Q327" s="441"/>
      <c r="R327" s="441"/>
      <c r="S327" s="146">
        <f t="shared" si="236"/>
        <v>18.831</v>
      </c>
      <c r="T327" s="441"/>
      <c r="U327" s="537">
        <v>18.831</v>
      </c>
      <c r="V327" s="457"/>
      <c r="W327" s="146"/>
      <c r="X327" s="46">
        <f t="shared" si="237"/>
        <v>18.831</v>
      </c>
      <c r="Y327" s="533"/>
      <c r="Z327" s="537">
        <v>18.831</v>
      </c>
      <c r="AA327" s="441"/>
      <c r="AB327" s="441"/>
      <c r="AC327" s="46">
        <f t="shared" si="238"/>
        <v>18.831</v>
      </c>
      <c r="AD327" s="533"/>
      <c r="AE327" s="537">
        <v>18.831</v>
      </c>
      <c r="AF327" s="441"/>
      <c r="AG327" s="441"/>
      <c r="AH327" s="3"/>
    </row>
    <row r="328" spans="1:34" ht="94.5" customHeight="1">
      <c r="A328" s="136">
        <v>33</v>
      </c>
      <c r="B328" s="144" t="s">
        <v>387</v>
      </c>
      <c r="C328" s="534" t="s">
        <v>61</v>
      </c>
      <c r="D328" s="142" t="s">
        <v>449</v>
      </c>
      <c r="E328" s="142" t="s">
        <v>456</v>
      </c>
      <c r="F328" s="192">
        <v>8036996</v>
      </c>
      <c r="G328" s="114">
        <v>71</v>
      </c>
      <c r="H328" s="535" t="s">
        <v>439</v>
      </c>
      <c r="I328" s="173" t="s">
        <v>80</v>
      </c>
      <c r="J328" s="180" t="s">
        <v>511</v>
      </c>
      <c r="K328" s="46">
        <v>828</v>
      </c>
      <c r="L328" s="536">
        <v>39</v>
      </c>
      <c r="M328" s="146"/>
      <c r="N328" s="46">
        <f>SUM(O328:R328)</f>
        <v>105.095</v>
      </c>
      <c r="O328" s="533"/>
      <c r="P328" s="537">
        <v>105.095</v>
      </c>
      <c r="Q328" s="441"/>
      <c r="R328" s="441"/>
      <c r="S328" s="146">
        <f t="shared" si="236"/>
        <v>105.095</v>
      </c>
      <c r="T328" s="441"/>
      <c r="U328" s="537">
        <v>105.095</v>
      </c>
      <c r="V328" s="457"/>
      <c r="W328" s="146"/>
      <c r="X328" s="46">
        <f>SUM(Y328:AB328)</f>
        <v>105.095</v>
      </c>
      <c r="Y328" s="533"/>
      <c r="Z328" s="537">
        <v>105.095</v>
      </c>
      <c r="AA328" s="441"/>
      <c r="AB328" s="441"/>
      <c r="AC328" s="46">
        <f>SUM(AD328:AG328)</f>
        <v>105.095</v>
      </c>
      <c r="AD328" s="533"/>
      <c r="AE328" s="537">
        <v>105.095</v>
      </c>
      <c r="AF328" s="441"/>
      <c r="AG328" s="441"/>
      <c r="AH328" s="3"/>
    </row>
    <row r="329" spans="1:34" s="139" customFormat="1" ht="94.5" customHeight="1">
      <c r="A329" s="136">
        <v>34</v>
      </c>
      <c r="B329" s="144" t="s">
        <v>633</v>
      </c>
      <c r="C329" s="618" t="s">
        <v>61</v>
      </c>
      <c r="D329" s="142" t="s">
        <v>634</v>
      </c>
      <c r="E329" s="142" t="s">
        <v>456</v>
      </c>
      <c r="F329" s="610">
        <v>8029171</v>
      </c>
      <c r="G329" s="611">
        <v>292</v>
      </c>
      <c r="H329" s="619" t="s">
        <v>635</v>
      </c>
      <c r="I329" s="255" t="s">
        <v>80</v>
      </c>
      <c r="J329" s="620" t="s">
        <v>636</v>
      </c>
      <c r="K329" s="146">
        <v>2062</v>
      </c>
      <c r="L329" s="621">
        <v>98</v>
      </c>
      <c r="M329" s="146"/>
      <c r="N329" s="146">
        <f>SUM(O329:R329)</f>
        <v>10.760999999999999</v>
      </c>
      <c r="O329" s="151"/>
      <c r="P329" s="622">
        <v>10.760999999999999</v>
      </c>
      <c r="Q329" s="146"/>
      <c r="R329" s="146"/>
      <c r="S329" s="146">
        <f t="shared" ref="S329:S338" si="239">SUM(T329:W329)</f>
        <v>10.760999999999999</v>
      </c>
      <c r="T329" s="146"/>
      <c r="U329" s="622">
        <v>10.760999999999999</v>
      </c>
      <c r="V329" s="148"/>
      <c r="W329" s="146"/>
      <c r="X329" s="146">
        <f>SUM(Y329:AB329)</f>
        <v>10.760999999999999</v>
      </c>
      <c r="Y329" s="151"/>
      <c r="Z329" s="622">
        <v>10.760999999999999</v>
      </c>
      <c r="AA329" s="146"/>
      <c r="AB329" s="146"/>
      <c r="AC329" s="146">
        <f>SUM(AD329:AG329)</f>
        <v>10.760999999999999</v>
      </c>
      <c r="AD329" s="151"/>
      <c r="AE329" s="622">
        <v>10.760999999999999</v>
      </c>
      <c r="AF329" s="146"/>
      <c r="AG329" s="146"/>
      <c r="AH329" s="138"/>
    </row>
    <row r="330" spans="1:34" s="139" customFormat="1" ht="94.5" customHeight="1">
      <c r="A330" s="136">
        <v>35</v>
      </c>
      <c r="B330" s="144" t="s">
        <v>637</v>
      </c>
      <c r="C330" s="618" t="s">
        <v>61</v>
      </c>
      <c r="D330" s="142" t="s">
        <v>634</v>
      </c>
      <c r="E330" s="142" t="s">
        <v>456</v>
      </c>
      <c r="F330" s="610">
        <v>8029172</v>
      </c>
      <c r="G330" s="611">
        <v>292</v>
      </c>
      <c r="H330" s="619" t="s">
        <v>638</v>
      </c>
      <c r="I330" s="255" t="s">
        <v>80</v>
      </c>
      <c r="J330" s="620" t="s">
        <v>639</v>
      </c>
      <c r="K330" s="146">
        <v>2567</v>
      </c>
      <c r="L330" s="621">
        <v>122</v>
      </c>
      <c r="M330" s="146"/>
      <c r="N330" s="146">
        <f t="shared" si="232"/>
        <v>13.5</v>
      </c>
      <c r="O330" s="151"/>
      <c r="P330" s="622">
        <v>13.5</v>
      </c>
      <c r="Q330" s="146"/>
      <c r="R330" s="146"/>
      <c r="S330" s="146">
        <f t="shared" si="239"/>
        <v>13.5</v>
      </c>
      <c r="T330" s="146"/>
      <c r="U330" s="622">
        <v>13.5</v>
      </c>
      <c r="V330" s="148"/>
      <c r="W330" s="146"/>
      <c r="X330" s="146">
        <f t="shared" ref="X330:X338" si="240">SUM(Y330:AB330)</f>
        <v>13.5</v>
      </c>
      <c r="Y330" s="151"/>
      <c r="Z330" s="622">
        <v>13.5</v>
      </c>
      <c r="AA330" s="146"/>
      <c r="AB330" s="146"/>
      <c r="AC330" s="146">
        <f t="shared" ref="AC330:AC338" si="241">SUM(AD330:AG330)</f>
        <v>13.5</v>
      </c>
      <c r="AD330" s="151"/>
      <c r="AE330" s="622">
        <v>13.5</v>
      </c>
      <c r="AF330" s="146"/>
      <c r="AG330" s="146"/>
      <c r="AH330" s="138"/>
    </row>
    <row r="331" spans="1:34" s="139" customFormat="1" ht="94.5" customHeight="1">
      <c r="A331" s="136">
        <v>36</v>
      </c>
      <c r="B331" s="144" t="s">
        <v>640</v>
      </c>
      <c r="C331" s="618" t="s">
        <v>61</v>
      </c>
      <c r="D331" s="142" t="s">
        <v>634</v>
      </c>
      <c r="E331" s="142" t="s">
        <v>456</v>
      </c>
      <c r="F331" s="610">
        <v>8034615</v>
      </c>
      <c r="G331" s="611">
        <v>292</v>
      </c>
      <c r="H331" s="619" t="s">
        <v>641</v>
      </c>
      <c r="I331" s="255" t="s">
        <v>642</v>
      </c>
      <c r="J331" s="620" t="s">
        <v>643</v>
      </c>
      <c r="K331" s="146">
        <v>400</v>
      </c>
      <c r="L331" s="621">
        <v>0</v>
      </c>
      <c r="M331" s="146"/>
      <c r="N331" s="146">
        <f t="shared" si="232"/>
        <v>2.1669999999999998</v>
      </c>
      <c r="O331" s="151"/>
      <c r="P331" s="622">
        <v>2.1669999999999998</v>
      </c>
      <c r="Q331" s="146"/>
      <c r="R331" s="146"/>
      <c r="S331" s="146">
        <f t="shared" si="239"/>
        <v>2.1669999999999998</v>
      </c>
      <c r="T331" s="146"/>
      <c r="U331" s="622">
        <v>2.1669999999999998</v>
      </c>
      <c r="V331" s="148"/>
      <c r="W331" s="146"/>
      <c r="X331" s="146">
        <f t="shared" si="240"/>
        <v>2.1669999999999998</v>
      </c>
      <c r="Y331" s="151"/>
      <c r="Z331" s="622">
        <v>2.1669999999999998</v>
      </c>
      <c r="AA331" s="146"/>
      <c r="AB331" s="146"/>
      <c r="AC331" s="146">
        <f t="shared" si="241"/>
        <v>2.1669999999999998</v>
      </c>
      <c r="AD331" s="151"/>
      <c r="AE331" s="622">
        <v>2.1669999999999998</v>
      </c>
      <c r="AF331" s="146"/>
      <c r="AG331" s="146"/>
      <c r="AH331" s="138"/>
    </row>
    <row r="332" spans="1:34" s="139" customFormat="1" ht="94.5" customHeight="1">
      <c r="A332" s="136">
        <v>37</v>
      </c>
      <c r="B332" s="144" t="s">
        <v>644</v>
      </c>
      <c r="C332" s="618" t="s">
        <v>61</v>
      </c>
      <c r="D332" s="142" t="s">
        <v>634</v>
      </c>
      <c r="E332" s="142" t="s">
        <v>456</v>
      </c>
      <c r="F332" s="610">
        <v>8034616</v>
      </c>
      <c r="G332" s="611">
        <v>292</v>
      </c>
      <c r="H332" s="619" t="s">
        <v>645</v>
      </c>
      <c r="I332" s="255" t="s">
        <v>642</v>
      </c>
      <c r="J332" s="620" t="s">
        <v>646</v>
      </c>
      <c r="K332" s="146">
        <v>652</v>
      </c>
      <c r="L332" s="621">
        <v>3.1E-2</v>
      </c>
      <c r="M332" s="146"/>
      <c r="N332" s="146">
        <f t="shared" si="232"/>
        <v>3.456</v>
      </c>
      <c r="O332" s="151"/>
      <c r="P332" s="622">
        <v>3.456</v>
      </c>
      <c r="Q332" s="146"/>
      <c r="R332" s="146"/>
      <c r="S332" s="146">
        <f t="shared" si="239"/>
        <v>3.456</v>
      </c>
      <c r="T332" s="146"/>
      <c r="U332" s="622">
        <v>3.456</v>
      </c>
      <c r="V332" s="148"/>
      <c r="W332" s="146"/>
      <c r="X332" s="146">
        <f t="shared" si="240"/>
        <v>3.456</v>
      </c>
      <c r="Y332" s="151"/>
      <c r="Z332" s="622">
        <v>3.456</v>
      </c>
      <c r="AA332" s="146"/>
      <c r="AB332" s="146"/>
      <c r="AC332" s="146">
        <f t="shared" si="241"/>
        <v>3.456</v>
      </c>
      <c r="AD332" s="151"/>
      <c r="AE332" s="622">
        <v>3.456</v>
      </c>
      <c r="AF332" s="146"/>
      <c r="AG332" s="146"/>
      <c r="AH332" s="138"/>
    </row>
    <row r="333" spans="1:34" s="139" customFormat="1" ht="94.5" customHeight="1">
      <c r="A333" s="136">
        <v>38</v>
      </c>
      <c r="B333" s="144" t="s">
        <v>647</v>
      </c>
      <c r="C333" s="618" t="s">
        <v>61</v>
      </c>
      <c r="D333" s="142" t="s">
        <v>634</v>
      </c>
      <c r="E333" s="142" t="s">
        <v>456</v>
      </c>
      <c r="F333" s="610">
        <v>8034614</v>
      </c>
      <c r="G333" s="611">
        <v>292</v>
      </c>
      <c r="H333" s="619" t="s">
        <v>648</v>
      </c>
      <c r="I333" s="255" t="s">
        <v>642</v>
      </c>
      <c r="J333" s="620" t="s">
        <v>649</v>
      </c>
      <c r="K333" s="146">
        <v>500</v>
      </c>
      <c r="L333" s="621">
        <v>0</v>
      </c>
      <c r="M333" s="146"/>
      <c r="N333" s="146">
        <f t="shared" si="232"/>
        <v>2.706</v>
      </c>
      <c r="O333" s="151"/>
      <c r="P333" s="622">
        <v>2.706</v>
      </c>
      <c r="Q333" s="146"/>
      <c r="R333" s="146"/>
      <c r="S333" s="146">
        <f t="shared" si="239"/>
        <v>2.706</v>
      </c>
      <c r="T333" s="146"/>
      <c r="U333" s="622">
        <v>2.706</v>
      </c>
      <c r="V333" s="148"/>
      <c r="W333" s="146"/>
      <c r="X333" s="146">
        <f t="shared" si="240"/>
        <v>2.706</v>
      </c>
      <c r="Y333" s="151"/>
      <c r="Z333" s="622">
        <v>2.706</v>
      </c>
      <c r="AA333" s="146"/>
      <c r="AB333" s="146"/>
      <c r="AC333" s="146">
        <f t="shared" si="241"/>
        <v>2.706</v>
      </c>
      <c r="AD333" s="151"/>
      <c r="AE333" s="622">
        <v>2.706</v>
      </c>
      <c r="AF333" s="146"/>
      <c r="AG333" s="146"/>
      <c r="AH333" s="138"/>
    </row>
    <row r="334" spans="1:34" s="139" customFormat="1" ht="94.5" customHeight="1">
      <c r="A334" s="136">
        <v>39</v>
      </c>
      <c r="B334" s="144" t="s">
        <v>650</v>
      </c>
      <c r="C334" s="618" t="s">
        <v>61</v>
      </c>
      <c r="D334" s="142" t="s">
        <v>634</v>
      </c>
      <c r="E334" s="142" t="s">
        <v>456</v>
      </c>
      <c r="F334" s="610">
        <v>8035234</v>
      </c>
      <c r="G334" s="611">
        <v>292</v>
      </c>
      <c r="H334" s="619" t="s">
        <v>651</v>
      </c>
      <c r="I334" s="255" t="s">
        <v>642</v>
      </c>
      <c r="J334" s="620" t="s">
        <v>652</v>
      </c>
      <c r="K334" s="146">
        <v>332</v>
      </c>
      <c r="L334" s="621">
        <v>0</v>
      </c>
      <c r="M334" s="146"/>
      <c r="N334" s="146">
        <f t="shared" si="232"/>
        <v>1.8</v>
      </c>
      <c r="O334" s="151"/>
      <c r="P334" s="622">
        <v>1.8</v>
      </c>
      <c r="Q334" s="146"/>
      <c r="R334" s="146"/>
      <c r="S334" s="146">
        <f t="shared" si="239"/>
        <v>1.8</v>
      </c>
      <c r="T334" s="146"/>
      <c r="U334" s="622">
        <v>1.8</v>
      </c>
      <c r="V334" s="148"/>
      <c r="W334" s="146"/>
      <c r="X334" s="146">
        <f t="shared" si="240"/>
        <v>1.8</v>
      </c>
      <c r="Y334" s="151"/>
      <c r="Z334" s="622">
        <v>1.8</v>
      </c>
      <c r="AA334" s="146"/>
      <c r="AB334" s="146"/>
      <c r="AC334" s="146">
        <f t="shared" si="241"/>
        <v>1.8</v>
      </c>
      <c r="AD334" s="151"/>
      <c r="AE334" s="622">
        <v>1.8</v>
      </c>
      <c r="AF334" s="146"/>
      <c r="AG334" s="146"/>
      <c r="AH334" s="138"/>
    </row>
    <row r="335" spans="1:34" s="139" customFormat="1" ht="94.5" customHeight="1">
      <c r="A335" s="136">
        <v>40</v>
      </c>
      <c r="B335" s="144" t="s">
        <v>653</v>
      </c>
      <c r="C335" s="618" t="s">
        <v>61</v>
      </c>
      <c r="D335" s="142" t="s">
        <v>634</v>
      </c>
      <c r="E335" s="142" t="s">
        <v>456</v>
      </c>
      <c r="F335" s="610">
        <v>8034617</v>
      </c>
      <c r="G335" s="611">
        <v>292</v>
      </c>
      <c r="H335" s="619" t="s">
        <v>779</v>
      </c>
      <c r="I335" s="255" t="s">
        <v>80</v>
      </c>
      <c r="J335" s="620" t="s">
        <v>654</v>
      </c>
      <c r="K335" s="146">
        <v>549</v>
      </c>
      <c r="L335" s="621">
        <v>16</v>
      </c>
      <c r="M335" s="146"/>
      <c r="N335" s="146">
        <f t="shared" si="232"/>
        <v>2.97</v>
      </c>
      <c r="O335" s="151"/>
      <c r="P335" s="622">
        <v>2.97</v>
      </c>
      <c r="Q335" s="146"/>
      <c r="R335" s="146"/>
      <c r="S335" s="146">
        <f t="shared" si="239"/>
        <v>2.97</v>
      </c>
      <c r="T335" s="146"/>
      <c r="U335" s="622">
        <v>2.97</v>
      </c>
      <c r="V335" s="148"/>
      <c r="W335" s="146"/>
      <c r="X335" s="146">
        <f t="shared" si="240"/>
        <v>2.97</v>
      </c>
      <c r="Y335" s="151"/>
      <c r="Z335" s="622">
        <v>2.97</v>
      </c>
      <c r="AA335" s="146"/>
      <c r="AB335" s="146"/>
      <c r="AC335" s="146">
        <f t="shared" si="241"/>
        <v>2.97</v>
      </c>
      <c r="AD335" s="151"/>
      <c r="AE335" s="622">
        <v>2.97</v>
      </c>
      <c r="AF335" s="146"/>
      <c r="AG335" s="146"/>
      <c r="AH335" s="138"/>
    </row>
    <row r="336" spans="1:34" s="139" customFormat="1" ht="94.5" customHeight="1">
      <c r="A336" s="136">
        <v>41</v>
      </c>
      <c r="B336" s="144" t="s">
        <v>655</v>
      </c>
      <c r="C336" s="618" t="s">
        <v>61</v>
      </c>
      <c r="D336" s="142" t="s">
        <v>634</v>
      </c>
      <c r="E336" s="142" t="s">
        <v>456</v>
      </c>
      <c r="F336" s="610">
        <v>8034618</v>
      </c>
      <c r="G336" s="611">
        <v>292</v>
      </c>
      <c r="H336" s="619" t="s">
        <v>780</v>
      </c>
      <c r="I336" s="255" t="s">
        <v>642</v>
      </c>
      <c r="J336" s="620" t="s">
        <v>656</v>
      </c>
      <c r="K336" s="146">
        <v>337</v>
      </c>
      <c r="L336" s="621">
        <v>9</v>
      </c>
      <c r="M336" s="146"/>
      <c r="N336" s="146">
        <f t="shared" si="232"/>
        <v>1.82</v>
      </c>
      <c r="O336" s="151"/>
      <c r="P336" s="622">
        <v>1.82</v>
      </c>
      <c r="Q336" s="146"/>
      <c r="R336" s="146"/>
      <c r="S336" s="146">
        <f t="shared" si="239"/>
        <v>1.82</v>
      </c>
      <c r="T336" s="146"/>
      <c r="U336" s="622">
        <v>1.82</v>
      </c>
      <c r="V336" s="148"/>
      <c r="W336" s="146"/>
      <c r="X336" s="146">
        <f t="shared" si="240"/>
        <v>1.82</v>
      </c>
      <c r="Y336" s="151"/>
      <c r="Z336" s="622">
        <v>1.82</v>
      </c>
      <c r="AA336" s="146"/>
      <c r="AB336" s="146"/>
      <c r="AC336" s="146">
        <f t="shared" si="241"/>
        <v>1.82</v>
      </c>
      <c r="AD336" s="151"/>
      <c r="AE336" s="622">
        <v>1.82</v>
      </c>
      <c r="AF336" s="146"/>
      <c r="AG336" s="146"/>
      <c r="AH336" s="138"/>
    </row>
    <row r="337" spans="1:34" s="139" customFormat="1" ht="94.5" customHeight="1">
      <c r="A337" s="136">
        <v>42</v>
      </c>
      <c r="B337" s="144" t="s">
        <v>657</v>
      </c>
      <c r="C337" s="618" t="s">
        <v>61</v>
      </c>
      <c r="D337" s="142" t="s">
        <v>634</v>
      </c>
      <c r="E337" s="142" t="s">
        <v>456</v>
      </c>
      <c r="F337" s="610">
        <v>8035235</v>
      </c>
      <c r="G337" s="611">
        <v>292</v>
      </c>
      <c r="H337" s="619" t="s">
        <v>658</v>
      </c>
      <c r="I337" s="255" t="s">
        <v>642</v>
      </c>
      <c r="J337" s="620" t="s">
        <v>659</v>
      </c>
      <c r="K337" s="146">
        <v>148</v>
      </c>
      <c r="L337" s="621">
        <v>7</v>
      </c>
      <c r="M337" s="146"/>
      <c r="N337" s="146">
        <f t="shared" si="232"/>
        <v>0.77100000000000002</v>
      </c>
      <c r="O337" s="151"/>
      <c r="P337" s="622">
        <v>0.77100000000000002</v>
      </c>
      <c r="Q337" s="146"/>
      <c r="R337" s="146"/>
      <c r="S337" s="146">
        <f t="shared" si="239"/>
        <v>0.77100000000000002</v>
      </c>
      <c r="T337" s="146"/>
      <c r="U337" s="622">
        <v>0.77100000000000002</v>
      </c>
      <c r="V337" s="148"/>
      <c r="W337" s="146"/>
      <c r="X337" s="146">
        <f t="shared" si="240"/>
        <v>0.77100000000000002</v>
      </c>
      <c r="Y337" s="151"/>
      <c r="Z337" s="622">
        <v>0.77100000000000002</v>
      </c>
      <c r="AA337" s="146"/>
      <c r="AB337" s="146"/>
      <c r="AC337" s="146">
        <f t="shared" si="241"/>
        <v>0.77100000000000002</v>
      </c>
      <c r="AD337" s="151"/>
      <c r="AE337" s="622">
        <v>0.77100000000000002</v>
      </c>
      <c r="AF337" s="146"/>
      <c r="AG337" s="146"/>
      <c r="AH337" s="138"/>
    </row>
    <row r="338" spans="1:34" s="139" customFormat="1" ht="94.5" customHeight="1">
      <c r="A338" s="136">
        <v>43</v>
      </c>
      <c r="B338" s="144" t="s">
        <v>660</v>
      </c>
      <c r="C338" s="618" t="s">
        <v>61</v>
      </c>
      <c r="D338" s="142" t="s">
        <v>634</v>
      </c>
      <c r="E338" s="142" t="s">
        <v>456</v>
      </c>
      <c r="F338" s="610">
        <v>8035623</v>
      </c>
      <c r="G338" s="611">
        <v>292</v>
      </c>
      <c r="H338" s="619" t="s">
        <v>661</v>
      </c>
      <c r="I338" s="255" t="s">
        <v>642</v>
      </c>
      <c r="J338" s="620" t="s">
        <v>662</v>
      </c>
      <c r="K338" s="146">
        <v>1150</v>
      </c>
      <c r="L338" s="621">
        <v>0</v>
      </c>
      <c r="M338" s="146"/>
      <c r="N338" s="146">
        <f t="shared" si="232"/>
        <v>5.8239999999999998</v>
      </c>
      <c r="O338" s="151"/>
      <c r="P338" s="622">
        <v>5.8239999999999998</v>
      </c>
      <c r="Q338" s="146"/>
      <c r="R338" s="146"/>
      <c r="S338" s="146">
        <f t="shared" si="239"/>
        <v>5.8239999999999998</v>
      </c>
      <c r="T338" s="146"/>
      <c r="U338" s="622">
        <v>5.8239999999999998</v>
      </c>
      <c r="V338" s="148"/>
      <c r="W338" s="146"/>
      <c r="X338" s="146">
        <f t="shared" si="240"/>
        <v>5.8239999999999998</v>
      </c>
      <c r="Y338" s="151"/>
      <c r="Z338" s="622">
        <v>5.8239999999999998</v>
      </c>
      <c r="AA338" s="146"/>
      <c r="AB338" s="146"/>
      <c r="AC338" s="146">
        <f t="shared" si="241"/>
        <v>5.8239999999999998</v>
      </c>
      <c r="AD338" s="151"/>
      <c r="AE338" s="622">
        <v>5.8239999999999998</v>
      </c>
      <c r="AF338" s="146"/>
      <c r="AG338" s="146"/>
      <c r="AH338" s="138"/>
    </row>
    <row r="339" spans="1:34" s="139" customFormat="1">
      <c r="A339" s="136"/>
      <c r="B339" s="234" t="s">
        <v>607</v>
      </c>
      <c r="C339" s="235"/>
      <c r="D339" s="353"/>
      <c r="E339" s="76"/>
      <c r="F339" s="352"/>
      <c r="G339" s="354"/>
      <c r="H339" s="110"/>
      <c r="I339" s="112"/>
      <c r="J339" s="210"/>
      <c r="K339" s="627">
        <f>+SUM(K340:K362)</f>
        <v>46548.979999999996</v>
      </c>
      <c r="L339" s="627">
        <f t="shared" ref="L339:W339" si="242">+SUM(L340:L362)</f>
        <v>2472.7207989999997</v>
      </c>
      <c r="M339" s="627">
        <f t="shared" si="242"/>
        <v>0</v>
      </c>
      <c r="N339" s="627">
        <f t="shared" si="242"/>
        <v>31741.7065</v>
      </c>
      <c r="O339" s="627">
        <f t="shared" si="242"/>
        <v>0</v>
      </c>
      <c r="P339" s="627">
        <f t="shared" si="242"/>
        <v>31741.7065</v>
      </c>
      <c r="Q339" s="627">
        <f t="shared" si="242"/>
        <v>0</v>
      </c>
      <c r="R339" s="627">
        <f t="shared" si="242"/>
        <v>0</v>
      </c>
      <c r="S339" s="627">
        <f t="shared" si="242"/>
        <v>22155.797000000002</v>
      </c>
      <c r="T339" s="627">
        <f t="shared" si="242"/>
        <v>0</v>
      </c>
      <c r="U339" s="627">
        <f t="shared" si="242"/>
        <v>22155.797000000002</v>
      </c>
      <c r="V339" s="355">
        <f t="shared" si="242"/>
        <v>0</v>
      </c>
      <c r="W339" s="355">
        <f t="shared" si="242"/>
        <v>0</v>
      </c>
      <c r="X339" s="627">
        <f t="shared" ref="X339:AB339" si="243">+SUM(X340:X362)</f>
        <v>31741.7065</v>
      </c>
      <c r="Y339" s="627">
        <f t="shared" si="243"/>
        <v>0</v>
      </c>
      <c r="Z339" s="627">
        <f t="shared" si="243"/>
        <v>31741.7065</v>
      </c>
      <c r="AA339" s="627">
        <f t="shared" si="243"/>
        <v>0</v>
      </c>
      <c r="AB339" s="627">
        <f t="shared" si="243"/>
        <v>0</v>
      </c>
      <c r="AC339" s="627">
        <f t="shared" ref="AC339:AG339" si="244">+SUM(AC340:AC362)</f>
        <v>31741.7065</v>
      </c>
      <c r="AD339" s="627">
        <f t="shared" si="244"/>
        <v>0</v>
      </c>
      <c r="AE339" s="627">
        <f t="shared" si="244"/>
        <v>31741.7065</v>
      </c>
      <c r="AF339" s="627">
        <f t="shared" si="244"/>
        <v>0</v>
      </c>
      <c r="AG339" s="627">
        <f t="shared" si="244"/>
        <v>0</v>
      </c>
      <c r="AH339" s="355">
        <f t="shared" ref="AH339" si="245">+SUM(AH340:AH353)</f>
        <v>0</v>
      </c>
    </row>
    <row r="340" spans="1:34" ht="47.25">
      <c r="A340" s="136">
        <v>1</v>
      </c>
      <c r="B340" s="539" t="s">
        <v>608</v>
      </c>
      <c r="C340" s="149" t="s">
        <v>610</v>
      </c>
      <c r="D340" s="149" t="s">
        <v>451</v>
      </c>
      <c r="E340" s="298" t="s">
        <v>42</v>
      </c>
      <c r="F340" s="540">
        <v>8075348</v>
      </c>
      <c r="G340" s="541">
        <v>341</v>
      </c>
      <c r="H340" s="542" t="s">
        <v>612</v>
      </c>
      <c r="I340" s="411" t="s">
        <v>611</v>
      </c>
      <c r="J340" s="543" t="s">
        <v>616</v>
      </c>
      <c r="K340" s="146">
        <v>1241.954</v>
      </c>
      <c r="L340" s="146">
        <v>59.140689000000002</v>
      </c>
      <c r="M340" s="146"/>
      <c r="N340" s="146">
        <f>SUM(O340:R340)</f>
        <v>700</v>
      </c>
      <c r="O340" s="164"/>
      <c r="P340" s="622">
        <v>700</v>
      </c>
      <c r="Q340" s="151"/>
      <c r="R340" s="146"/>
      <c r="S340" s="146">
        <f>SUM(T340:W340)</f>
        <v>700</v>
      </c>
      <c r="T340" s="544"/>
      <c r="U340" s="146">
        <v>700</v>
      </c>
      <c r="V340" s="164"/>
      <c r="W340" s="164"/>
      <c r="X340" s="146">
        <f>SUM(Y340:AB340)</f>
        <v>700</v>
      </c>
      <c r="Y340" s="164"/>
      <c r="Z340" s="622">
        <v>700</v>
      </c>
      <c r="AA340" s="151"/>
      <c r="AB340" s="146"/>
      <c r="AC340" s="146">
        <f>SUM(AD340:AG340)</f>
        <v>700</v>
      </c>
      <c r="AD340" s="164"/>
      <c r="AE340" s="622">
        <v>700</v>
      </c>
      <c r="AF340" s="151"/>
      <c r="AG340" s="146"/>
      <c r="AH340" s="3"/>
    </row>
    <row r="341" spans="1:34" ht="47.25">
      <c r="A341" s="136">
        <v>2</v>
      </c>
      <c r="B341" s="539" t="s">
        <v>609</v>
      </c>
      <c r="C341" s="149" t="s">
        <v>610</v>
      </c>
      <c r="D341" s="149" t="s">
        <v>451</v>
      </c>
      <c r="E341" s="298" t="s">
        <v>42</v>
      </c>
      <c r="F341" s="540">
        <v>7926830</v>
      </c>
      <c r="G341" s="541">
        <v>311</v>
      </c>
      <c r="H341" s="542" t="s">
        <v>613</v>
      </c>
      <c r="I341" s="411" t="s">
        <v>48</v>
      </c>
      <c r="J341" s="543" t="s">
        <v>617</v>
      </c>
      <c r="K341" s="146">
        <v>507.52100000000002</v>
      </c>
      <c r="L341" s="146">
        <v>24.167663999999998</v>
      </c>
      <c r="M341" s="146"/>
      <c r="N341" s="146">
        <f t="shared" ref="N341:N347" si="246">SUM(O341:R341)</f>
        <v>300</v>
      </c>
      <c r="O341" s="164"/>
      <c r="P341" s="622">
        <v>300</v>
      </c>
      <c r="Q341" s="151"/>
      <c r="R341" s="146"/>
      <c r="S341" s="146">
        <f t="shared" ref="S341:S349" si="247">SUM(T341:W341)</f>
        <v>300</v>
      </c>
      <c r="T341" s="544"/>
      <c r="U341" s="146">
        <v>300</v>
      </c>
      <c r="V341" s="164"/>
      <c r="W341" s="164"/>
      <c r="X341" s="146">
        <f t="shared" ref="X341:X347" si="248">SUM(Y341:AB341)</f>
        <v>300</v>
      </c>
      <c r="Y341" s="164"/>
      <c r="Z341" s="622">
        <v>300</v>
      </c>
      <c r="AA341" s="151"/>
      <c r="AB341" s="146"/>
      <c r="AC341" s="146">
        <f t="shared" ref="AC341:AC347" si="249">SUM(AD341:AG341)</f>
        <v>300</v>
      </c>
      <c r="AD341" s="164"/>
      <c r="AE341" s="622">
        <v>300</v>
      </c>
      <c r="AF341" s="151"/>
      <c r="AG341" s="146"/>
      <c r="AH341" s="3"/>
    </row>
    <row r="342" spans="1:34" s="139" customFormat="1" ht="63">
      <c r="A342" s="136">
        <v>3</v>
      </c>
      <c r="B342" s="545" t="s">
        <v>663</v>
      </c>
      <c r="C342" s="545" t="s">
        <v>61</v>
      </c>
      <c r="D342" s="380" t="s">
        <v>664</v>
      </c>
      <c r="E342" s="298" t="s">
        <v>42</v>
      </c>
      <c r="F342" s="546">
        <v>8046556</v>
      </c>
      <c r="G342" s="547">
        <v>321</v>
      </c>
      <c r="H342" s="545" t="s">
        <v>665</v>
      </c>
      <c r="I342" s="255" t="s">
        <v>80</v>
      </c>
      <c r="J342" s="384" t="s">
        <v>666</v>
      </c>
      <c r="K342" s="548">
        <v>1464</v>
      </c>
      <c r="L342" s="549">
        <v>69</v>
      </c>
      <c r="N342" s="146">
        <f t="shared" si="246"/>
        <v>700</v>
      </c>
      <c r="O342" s="164"/>
      <c r="P342" s="626">
        <v>700</v>
      </c>
      <c r="Q342" s="151"/>
      <c r="R342" s="146"/>
      <c r="S342" s="146">
        <f t="shared" si="247"/>
        <v>700</v>
      </c>
      <c r="T342" s="624"/>
      <c r="U342" s="658">
        <f>700000000/1000000</f>
        <v>700</v>
      </c>
      <c r="V342" s="164"/>
      <c r="W342" s="164"/>
      <c r="X342" s="146">
        <f t="shared" si="248"/>
        <v>700</v>
      </c>
      <c r="Y342" s="164"/>
      <c r="Z342" s="626">
        <v>700</v>
      </c>
      <c r="AA342" s="151"/>
      <c r="AB342" s="146"/>
      <c r="AC342" s="146">
        <f t="shared" si="249"/>
        <v>700</v>
      </c>
      <c r="AD342" s="164"/>
      <c r="AE342" s="626">
        <v>700</v>
      </c>
      <c r="AF342" s="151"/>
      <c r="AG342" s="146"/>
      <c r="AH342" s="138"/>
    </row>
    <row r="343" spans="1:34" ht="63">
      <c r="A343" s="136">
        <v>4</v>
      </c>
      <c r="B343" s="172" t="s">
        <v>667</v>
      </c>
      <c r="C343" s="534" t="s">
        <v>61</v>
      </c>
      <c r="D343" s="111" t="s">
        <v>458</v>
      </c>
      <c r="E343" s="111" t="s">
        <v>42</v>
      </c>
      <c r="F343" s="180">
        <v>7921844</v>
      </c>
      <c r="G343" s="538">
        <v>321</v>
      </c>
      <c r="H343" s="172" t="s">
        <v>668</v>
      </c>
      <c r="I343" s="173" t="s">
        <v>48</v>
      </c>
      <c r="J343" s="109" t="s">
        <v>669</v>
      </c>
      <c r="K343" s="552">
        <v>2948</v>
      </c>
      <c r="L343" s="552">
        <v>86</v>
      </c>
      <c r="M343" s="139"/>
      <c r="N343" s="46">
        <f t="shared" si="246"/>
        <v>1430</v>
      </c>
      <c r="O343" s="345"/>
      <c r="P343" s="626">
        <v>1430</v>
      </c>
      <c r="Q343" s="151"/>
      <c r="R343" s="146"/>
      <c r="S343" s="441">
        <f t="shared" si="247"/>
        <v>1266.8900000000001</v>
      </c>
      <c r="T343" s="514"/>
      <c r="U343" s="553">
        <f>1266890000/1000000</f>
        <v>1266.8900000000001</v>
      </c>
      <c r="V343" s="164"/>
      <c r="W343" s="164"/>
      <c r="X343" s="46">
        <f t="shared" si="248"/>
        <v>1430</v>
      </c>
      <c r="Y343" s="345"/>
      <c r="Z343" s="626">
        <v>1430</v>
      </c>
      <c r="AA343" s="151"/>
      <c r="AB343" s="146"/>
      <c r="AC343" s="46">
        <f t="shared" si="249"/>
        <v>1430</v>
      </c>
      <c r="AD343" s="345"/>
      <c r="AE343" s="626">
        <v>1430</v>
      </c>
      <c r="AF343" s="151"/>
      <c r="AG343" s="146"/>
      <c r="AH343" s="3"/>
    </row>
    <row r="344" spans="1:34" s="139" customFormat="1" ht="63">
      <c r="A344" s="136">
        <v>5</v>
      </c>
      <c r="B344" s="545" t="s">
        <v>670</v>
      </c>
      <c r="C344" s="545" t="s">
        <v>61</v>
      </c>
      <c r="D344" s="380" t="s">
        <v>459</v>
      </c>
      <c r="E344" s="298" t="s">
        <v>42</v>
      </c>
      <c r="F344" s="546">
        <v>8059200</v>
      </c>
      <c r="G344" s="547">
        <v>321</v>
      </c>
      <c r="H344" s="545" t="s">
        <v>671</v>
      </c>
      <c r="I344" s="255" t="s">
        <v>80</v>
      </c>
      <c r="J344" s="384" t="s">
        <v>672</v>
      </c>
      <c r="K344" s="548">
        <v>2413</v>
      </c>
      <c r="L344" s="549">
        <v>114</v>
      </c>
      <c r="N344" s="146">
        <f t="shared" si="246"/>
        <v>1150</v>
      </c>
      <c r="O344" s="164"/>
      <c r="P344" s="626">
        <v>1150</v>
      </c>
      <c r="Q344" s="151"/>
      <c r="R344" s="146"/>
      <c r="S344" s="146">
        <f t="shared" si="247"/>
        <v>1150</v>
      </c>
      <c r="T344" s="624"/>
      <c r="U344" s="553">
        <v>1150</v>
      </c>
      <c r="V344" s="164"/>
      <c r="W344" s="164"/>
      <c r="X344" s="146">
        <f t="shared" si="248"/>
        <v>1150</v>
      </c>
      <c r="Y344" s="164"/>
      <c r="Z344" s="626">
        <v>1150</v>
      </c>
      <c r="AA344" s="151"/>
      <c r="AB344" s="146"/>
      <c r="AC344" s="146">
        <f t="shared" si="249"/>
        <v>1150</v>
      </c>
      <c r="AD344" s="164"/>
      <c r="AE344" s="626">
        <v>1150</v>
      </c>
      <c r="AF344" s="151"/>
      <c r="AG344" s="146"/>
      <c r="AH344" s="138"/>
    </row>
    <row r="345" spans="1:34" s="139" customFormat="1" ht="63">
      <c r="A345" s="136">
        <v>6</v>
      </c>
      <c r="B345" s="568" t="s">
        <v>673</v>
      </c>
      <c r="C345" s="618" t="s">
        <v>61</v>
      </c>
      <c r="D345" s="298" t="s">
        <v>674</v>
      </c>
      <c r="E345" s="298" t="s">
        <v>42</v>
      </c>
      <c r="F345" s="620">
        <v>8061255</v>
      </c>
      <c r="G345" s="541">
        <v>312</v>
      </c>
      <c r="H345" s="568" t="s">
        <v>675</v>
      </c>
      <c r="I345" s="255" t="s">
        <v>48</v>
      </c>
      <c r="J345" s="149" t="s">
        <v>676</v>
      </c>
      <c r="K345" s="623">
        <v>1921</v>
      </c>
      <c r="L345" s="623">
        <v>4</v>
      </c>
      <c r="N345" s="146">
        <f t="shared" si="246"/>
        <v>950</v>
      </c>
      <c r="O345" s="164"/>
      <c r="P345" s="626">
        <v>950</v>
      </c>
      <c r="Q345" s="151"/>
      <c r="R345" s="146"/>
      <c r="S345" s="146">
        <f t="shared" si="247"/>
        <v>950</v>
      </c>
      <c r="T345" s="624"/>
      <c r="U345" s="551">
        <f>950000000/1000000</f>
        <v>950</v>
      </c>
      <c r="V345" s="164"/>
      <c r="W345" s="164"/>
      <c r="X345" s="146">
        <f t="shared" si="248"/>
        <v>950</v>
      </c>
      <c r="Y345" s="164"/>
      <c r="Z345" s="626">
        <v>950</v>
      </c>
      <c r="AA345" s="151"/>
      <c r="AB345" s="146"/>
      <c r="AC345" s="146">
        <f t="shared" si="249"/>
        <v>950</v>
      </c>
      <c r="AD345" s="164"/>
      <c r="AE345" s="626">
        <v>950</v>
      </c>
      <c r="AF345" s="151"/>
      <c r="AG345" s="146"/>
      <c r="AH345" s="138"/>
    </row>
    <row r="346" spans="1:34" s="139" customFormat="1" ht="63">
      <c r="A346" s="136">
        <v>7</v>
      </c>
      <c r="B346" s="545" t="s">
        <v>677</v>
      </c>
      <c r="C346" s="545" t="s">
        <v>61</v>
      </c>
      <c r="D346" s="380" t="s">
        <v>674</v>
      </c>
      <c r="E346" s="298" t="s">
        <v>42</v>
      </c>
      <c r="F346" s="546">
        <v>8076792</v>
      </c>
      <c r="G346" s="547">
        <v>292</v>
      </c>
      <c r="H346" s="545" t="s">
        <v>678</v>
      </c>
      <c r="I346" s="255" t="s">
        <v>611</v>
      </c>
      <c r="J346" s="384" t="s">
        <v>679</v>
      </c>
      <c r="K346" s="548">
        <v>1347</v>
      </c>
      <c r="L346" s="549">
        <v>101</v>
      </c>
      <c r="N346" s="146">
        <f t="shared" si="246"/>
        <v>620</v>
      </c>
      <c r="O346" s="164"/>
      <c r="P346" s="626">
        <v>620</v>
      </c>
      <c r="Q346" s="151"/>
      <c r="R346" s="146"/>
      <c r="S346" s="146">
        <f t="shared" si="247"/>
        <v>620</v>
      </c>
      <c r="T346" s="624"/>
      <c r="U346" s="551">
        <v>620</v>
      </c>
      <c r="V346" s="164"/>
      <c r="W346" s="164"/>
      <c r="X346" s="146">
        <f t="shared" si="248"/>
        <v>620</v>
      </c>
      <c r="Y346" s="164"/>
      <c r="Z346" s="626">
        <v>620</v>
      </c>
      <c r="AA346" s="151"/>
      <c r="AB346" s="146"/>
      <c r="AC346" s="146">
        <f t="shared" si="249"/>
        <v>620</v>
      </c>
      <c r="AD346" s="164"/>
      <c r="AE346" s="626">
        <v>620</v>
      </c>
      <c r="AF346" s="151"/>
      <c r="AG346" s="146"/>
      <c r="AH346" s="138"/>
    </row>
    <row r="347" spans="1:34" ht="63">
      <c r="A347" s="136">
        <v>8</v>
      </c>
      <c r="B347" s="172" t="s">
        <v>680</v>
      </c>
      <c r="C347" s="534" t="s">
        <v>618</v>
      </c>
      <c r="D347" s="111" t="s">
        <v>162</v>
      </c>
      <c r="E347" s="111" t="s">
        <v>42</v>
      </c>
      <c r="F347" s="180">
        <v>8079207</v>
      </c>
      <c r="G347" s="538">
        <v>321</v>
      </c>
      <c r="H347" s="172" t="s">
        <v>681</v>
      </c>
      <c r="I347" s="173" t="s">
        <v>48</v>
      </c>
      <c r="J347" s="109" t="s">
        <v>682</v>
      </c>
      <c r="K347" s="552">
        <v>699</v>
      </c>
      <c r="L347" s="552">
        <v>33</v>
      </c>
      <c r="M347" s="139"/>
      <c r="N347" s="46">
        <f t="shared" si="246"/>
        <v>350</v>
      </c>
      <c r="O347" s="345"/>
      <c r="P347" s="626">
        <v>350</v>
      </c>
      <c r="Q347" s="151"/>
      <c r="R347" s="146"/>
      <c r="S347" s="370">
        <f t="shared" si="247"/>
        <v>180</v>
      </c>
      <c r="T347" s="550"/>
      <c r="U347" s="551">
        <v>180</v>
      </c>
      <c r="V347" s="164"/>
      <c r="W347" s="164"/>
      <c r="X347" s="46">
        <f t="shared" si="248"/>
        <v>350</v>
      </c>
      <c r="Y347" s="345"/>
      <c r="Z347" s="626">
        <v>350</v>
      </c>
      <c r="AA347" s="151"/>
      <c r="AB347" s="146"/>
      <c r="AC347" s="46">
        <f t="shared" si="249"/>
        <v>350</v>
      </c>
      <c r="AD347" s="345"/>
      <c r="AE347" s="626">
        <v>350</v>
      </c>
      <c r="AF347" s="151"/>
      <c r="AG347" s="146"/>
      <c r="AH347" s="3"/>
    </row>
    <row r="348" spans="1:34" ht="63">
      <c r="A348" s="136">
        <v>9</v>
      </c>
      <c r="B348" s="172" t="s">
        <v>683</v>
      </c>
      <c r="C348" s="534" t="s">
        <v>619</v>
      </c>
      <c r="D348" s="111" t="s">
        <v>99</v>
      </c>
      <c r="E348" s="111" t="s">
        <v>42</v>
      </c>
      <c r="F348" s="180">
        <v>8017211</v>
      </c>
      <c r="G348" s="538">
        <v>341</v>
      </c>
      <c r="H348" s="172" t="s">
        <v>684</v>
      </c>
      <c r="I348" s="173"/>
      <c r="J348" s="109" t="s">
        <v>685</v>
      </c>
      <c r="K348" s="552">
        <v>1916.095</v>
      </c>
      <c r="L348" s="552">
        <v>91.242621</v>
      </c>
      <c r="M348" s="139"/>
      <c r="N348" s="46">
        <f>SUM(O348:R348)</f>
        <v>1400</v>
      </c>
      <c r="O348" s="345"/>
      <c r="P348" s="46">
        <v>1400</v>
      </c>
      <c r="Q348" s="151"/>
      <c r="R348" s="146"/>
      <c r="S348" s="441">
        <f t="shared" si="247"/>
        <v>893.84900000000005</v>
      </c>
      <c r="T348" s="514"/>
      <c r="U348" s="551">
        <f>893849000/1000000</f>
        <v>893.84900000000005</v>
      </c>
      <c r="V348" s="164"/>
      <c r="W348" s="164"/>
      <c r="X348" s="46">
        <f>SUM(Y348:AB348)</f>
        <v>1400</v>
      </c>
      <c r="Y348" s="345"/>
      <c r="Z348" s="46">
        <v>1400</v>
      </c>
      <c r="AA348" s="151"/>
      <c r="AB348" s="146"/>
      <c r="AC348" s="46">
        <f>SUM(AD348:AG348)</f>
        <v>1400</v>
      </c>
      <c r="AD348" s="345"/>
      <c r="AE348" s="46">
        <v>1400</v>
      </c>
      <c r="AF348" s="151"/>
      <c r="AG348" s="146"/>
      <c r="AH348" s="3"/>
    </row>
    <row r="349" spans="1:34" s="139" customFormat="1" ht="47.25">
      <c r="A349" s="136">
        <v>10</v>
      </c>
      <c r="B349" s="568" t="s">
        <v>686</v>
      </c>
      <c r="C349" s="618" t="s">
        <v>619</v>
      </c>
      <c r="D349" s="298" t="s">
        <v>99</v>
      </c>
      <c r="E349" s="298" t="s">
        <v>42</v>
      </c>
      <c r="F349" s="620">
        <v>8080062</v>
      </c>
      <c r="G349" s="541">
        <v>292</v>
      </c>
      <c r="H349" s="568" t="s">
        <v>687</v>
      </c>
      <c r="I349" s="255"/>
      <c r="J349" s="149" t="s">
        <v>688</v>
      </c>
      <c r="K349" s="623">
        <v>13583.603999999999</v>
      </c>
      <c r="L349" s="623">
        <v>1073.3775149999999</v>
      </c>
      <c r="N349" s="146">
        <f t="shared" ref="N349:N351" si="250">SUM(O349:R349)</f>
        <v>6200</v>
      </c>
      <c r="O349" s="164"/>
      <c r="P349" s="146">
        <v>6200</v>
      </c>
      <c r="Q349" s="151"/>
      <c r="R349" s="146"/>
      <c r="S349" s="146">
        <f t="shared" si="247"/>
        <v>1309.47</v>
      </c>
      <c r="T349" s="624"/>
      <c r="U349" s="553">
        <f>1309470000/1000000</f>
        <v>1309.47</v>
      </c>
      <c r="V349" s="164"/>
      <c r="W349" s="164"/>
      <c r="X349" s="146">
        <f t="shared" ref="X349:X352" si="251">SUM(Y349:AB349)</f>
        <v>6200</v>
      </c>
      <c r="Y349" s="164"/>
      <c r="Z349" s="146">
        <v>6200</v>
      </c>
      <c r="AA349" s="151"/>
      <c r="AB349" s="146"/>
      <c r="AC349" s="146">
        <f t="shared" ref="AC349:AC352" si="252">SUM(AD349:AG349)</f>
        <v>6200</v>
      </c>
      <c r="AD349" s="164"/>
      <c r="AE349" s="146">
        <v>6200</v>
      </c>
      <c r="AF349" s="151"/>
      <c r="AG349" s="146"/>
      <c r="AH349" s="138"/>
    </row>
    <row r="350" spans="1:34" s="139" customFormat="1" ht="47.25">
      <c r="A350" s="136">
        <v>11</v>
      </c>
      <c r="B350" s="568" t="s">
        <v>689</v>
      </c>
      <c r="C350" s="618" t="s">
        <v>619</v>
      </c>
      <c r="D350" s="298" t="s">
        <v>458</v>
      </c>
      <c r="E350" s="298" t="s">
        <v>42</v>
      </c>
      <c r="F350" s="620">
        <v>8084334</v>
      </c>
      <c r="G350" s="541">
        <v>292</v>
      </c>
      <c r="H350" s="568" t="s">
        <v>690</v>
      </c>
      <c r="I350" s="255"/>
      <c r="J350" s="149" t="s">
        <v>691</v>
      </c>
      <c r="K350" s="623">
        <v>1618.806</v>
      </c>
      <c r="L350" s="623">
        <v>129.01590400000001</v>
      </c>
      <c r="N350" s="146">
        <f t="shared" si="250"/>
        <v>1038.742</v>
      </c>
      <c r="O350" s="164"/>
      <c r="P350" s="146">
        <v>1038.742</v>
      </c>
      <c r="Q350" s="151"/>
      <c r="R350" s="146"/>
      <c r="S350" s="146">
        <f>SUM(T350:W350)</f>
        <v>5386.3149999999996</v>
      </c>
      <c r="T350" s="624"/>
      <c r="U350" s="553">
        <f>5386315000/1000000</f>
        <v>5386.3149999999996</v>
      </c>
      <c r="V350" s="164"/>
      <c r="W350" s="164"/>
      <c r="X350" s="146">
        <f t="shared" si="251"/>
        <v>1038.742</v>
      </c>
      <c r="Y350" s="164"/>
      <c r="Z350" s="146">
        <v>1038.742</v>
      </c>
      <c r="AA350" s="151"/>
      <c r="AB350" s="146"/>
      <c r="AC350" s="146">
        <f t="shared" si="252"/>
        <v>1038.742</v>
      </c>
      <c r="AD350" s="164"/>
      <c r="AE350" s="146">
        <v>1038.742</v>
      </c>
      <c r="AF350" s="151"/>
      <c r="AG350" s="146"/>
      <c r="AH350" s="138"/>
    </row>
    <row r="351" spans="1:34" s="139" customFormat="1" ht="47.25">
      <c r="A351" s="136">
        <v>12</v>
      </c>
      <c r="B351" s="568" t="s">
        <v>692</v>
      </c>
      <c r="C351" s="618" t="s">
        <v>619</v>
      </c>
      <c r="D351" s="298" t="s">
        <v>451</v>
      </c>
      <c r="E351" s="298" t="s">
        <v>42</v>
      </c>
      <c r="F351" s="620">
        <v>8080625</v>
      </c>
      <c r="G351" s="541">
        <v>41</v>
      </c>
      <c r="H351" s="568" t="s">
        <v>693</v>
      </c>
      <c r="I351" s="255"/>
      <c r="J351" s="149" t="s">
        <v>694</v>
      </c>
      <c r="K351" s="623">
        <v>4500</v>
      </c>
      <c r="L351" s="623">
        <v>132.77640600000001</v>
      </c>
      <c r="N351" s="146">
        <f t="shared" si="250"/>
        <v>2400</v>
      </c>
      <c r="O351" s="164"/>
      <c r="P351" s="146">
        <v>2400</v>
      </c>
      <c r="Q351" s="151"/>
      <c r="R351" s="146"/>
      <c r="S351" s="146">
        <f t="shared" ref="S351" si="253">SUM(T351:W351)</f>
        <v>506.10199999999998</v>
      </c>
      <c r="T351" s="624"/>
      <c r="U351" s="553">
        <v>506.10199999999998</v>
      </c>
      <c r="V351" s="164"/>
      <c r="W351" s="164"/>
      <c r="X351" s="146">
        <f t="shared" si="251"/>
        <v>2400</v>
      </c>
      <c r="Y351" s="164"/>
      <c r="Z351" s="146">
        <v>2400</v>
      </c>
      <c r="AA351" s="151"/>
      <c r="AB351" s="146"/>
      <c r="AC351" s="146">
        <f t="shared" si="252"/>
        <v>2400</v>
      </c>
      <c r="AD351" s="164"/>
      <c r="AE351" s="146">
        <v>2400</v>
      </c>
      <c r="AF351" s="151"/>
      <c r="AG351" s="146"/>
      <c r="AH351" s="138"/>
    </row>
    <row r="352" spans="1:34" ht="31.5">
      <c r="A352" s="136">
        <v>13</v>
      </c>
      <c r="B352" s="172" t="s">
        <v>744</v>
      </c>
      <c r="C352" s="534" t="s">
        <v>619</v>
      </c>
      <c r="D352" s="111"/>
      <c r="E352" s="111"/>
      <c r="F352" s="180">
        <v>8013681</v>
      </c>
      <c r="G352" s="538"/>
      <c r="H352" s="172"/>
      <c r="I352" s="173"/>
      <c r="J352" s="109"/>
      <c r="K352" s="552"/>
      <c r="L352" s="552"/>
      <c r="M352" s="139"/>
      <c r="N352" s="46">
        <f t="shared" ref="N352:N360" si="254">SUM(O352:R352)</f>
        <v>4000</v>
      </c>
      <c r="O352" s="345"/>
      <c r="P352" s="46">
        <v>4000</v>
      </c>
      <c r="Q352" s="151"/>
      <c r="R352" s="146"/>
      <c r="S352" s="441">
        <f>SUM(T352:W352)</f>
        <v>3308.1849999999999</v>
      </c>
      <c r="T352" s="514"/>
      <c r="U352" s="553">
        <f>3308185000/1000000</f>
        <v>3308.1849999999999</v>
      </c>
      <c r="V352" s="164"/>
      <c r="W352" s="164"/>
      <c r="X352" s="46">
        <f t="shared" si="251"/>
        <v>4000</v>
      </c>
      <c r="Y352" s="345"/>
      <c r="Z352" s="46">
        <v>4000</v>
      </c>
      <c r="AA352" s="151"/>
      <c r="AB352" s="146"/>
      <c r="AC352" s="46">
        <f t="shared" si="252"/>
        <v>4000</v>
      </c>
      <c r="AD352" s="345"/>
      <c r="AE352" s="46">
        <v>4000</v>
      </c>
      <c r="AF352" s="151"/>
      <c r="AG352" s="146"/>
      <c r="AH352" s="3"/>
    </row>
    <row r="353" spans="1:34" s="139" customFormat="1">
      <c r="A353" s="136">
        <v>14</v>
      </c>
      <c r="B353" s="568" t="s">
        <v>696</v>
      </c>
      <c r="C353" s="618" t="s">
        <v>619</v>
      </c>
      <c r="D353" s="298"/>
      <c r="E353" s="298"/>
      <c r="F353" s="620">
        <v>8061258</v>
      </c>
      <c r="G353" s="541"/>
      <c r="H353" s="568"/>
      <c r="I353" s="255"/>
      <c r="J353" s="149"/>
      <c r="K353" s="623"/>
      <c r="L353" s="623"/>
      <c r="N353" s="146">
        <f>SUM(O353:R353)</f>
        <v>2000</v>
      </c>
      <c r="O353" s="164"/>
      <c r="P353" s="146">
        <v>2000</v>
      </c>
      <c r="Q353" s="151"/>
      <c r="R353" s="146"/>
      <c r="S353" s="146">
        <f>SUM(T353:W353)</f>
        <v>223.39500000000001</v>
      </c>
      <c r="T353" s="624"/>
      <c r="U353" s="553">
        <v>223.39500000000001</v>
      </c>
      <c r="V353" s="164"/>
      <c r="W353" s="164"/>
      <c r="X353" s="146">
        <f>SUM(Y353:AB353)</f>
        <v>2000</v>
      </c>
      <c r="Y353" s="164"/>
      <c r="Z353" s="146">
        <v>2000</v>
      </c>
      <c r="AA353" s="151"/>
      <c r="AB353" s="146"/>
      <c r="AC353" s="146">
        <f>SUM(AD353:AG353)</f>
        <v>2000</v>
      </c>
      <c r="AD353" s="164"/>
      <c r="AE353" s="146">
        <v>2000</v>
      </c>
      <c r="AF353" s="151"/>
      <c r="AG353" s="146"/>
      <c r="AH353" s="343"/>
    </row>
    <row r="354" spans="1:34" s="344" customFormat="1" ht="47.25">
      <c r="A354" s="136">
        <v>15</v>
      </c>
      <c r="B354" s="568" t="s">
        <v>745</v>
      </c>
      <c r="C354" s="618" t="s">
        <v>61</v>
      </c>
      <c r="D354" s="298" t="s">
        <v>746</v>
      </c>
      <c r="E354" s="298" t="s">
        <v>42</v>
      </c>
      <c r="F354" s="620" t="s">
        <v>747</v>
      </c>
      <c r="G354" s="541">
        <v>71</v>
      </c>
      <c r="H354" s="568" t="s">
        <v>748</v>
      </c>
      <c r="I354" s="255"/>
      <c r="J354" s="149" t="s">
        <v>749</v>
      </c>
      <c r="K354" s="623">
        <v>1627</v>
      </c>
      <c r="L354" s="623">
        <v>77</v>
      </c>
      <c r="M354" s="139"/>
      <c r="N354" s="146">
        <f t="shared" si="254"/>
        <v>1000</v>
      </c>
      <c r="O354" s="164"/>
      <c r="P354" s="146">
        <v>1000</v>
      </c>
      <c r="Q354" s="151"/>
      <c r="R354" s="146"/>
      <c r="S354" s="146">
        <f t="shared" ref="S354:S362" si="255">SUM(T354:W354)</f>
        <v>674.15800000000002</v>
      </c>
      <c r="T354" s="624"/>
      <c r="U354" s="553">
        <v>674.15800000000002</v>
      </c>
      <c r="V354" s="164"/>
      <c r="W354" s="164"/>
      <c r="X354" s="146">
        <f t="shared" ref="X354:X360" si="256">SUM(Y354:AB354)</f>
        <v>1000</v>
      </c>
      <c r="Y354" s="164"/>
      <c r="Z354" s="146">
        <v>1000</v>
      </c>
      <c r="AA354" s="151"/>
      <c r="AB354" s="146"/>
      <c r="AC354" s="146">
        <f t="shared" ref="AC354:AC360" si="257">SUM(AD354:AG354)</f>
        <v>1000</v>
      </c>
      <c r="AD354" s="164"/>
      <c r="AE354" s="146">
        <v>1000</v>
      </c>
      <c r="AF354" s="151"/>
      <c r="AG354" s="146"/>
      <c r="AH354" s="343"/>
    </row>
    <row r="355" spans="1:34" s="344" customFormat="1" ht="47.25">
      <c r="A355" s="136">
        <v>16</v>
      </c>
      <c r="B355" s="568" t="s">
        <v>750</v>
      </c>
      <c r="C355" s="618" t="s">
        <v>61</v>
      </c>
      <c r="D355" s="298" t="s">
        <v>751</v>
      </c>
      <c r="E355" s="298" t="s">
        <v>42</v>
      </c>
      <c r="F355" s="620">
        <v>8061244</v>
      </c>
      <c r="G355" s="541">
        <v>71</v>
      </c>
      <c r="H355" s="568" t="s">
        <v>748</v>
      </c>
      <c r="I355" s="255"/>
      <c r="J355" s="149" t="s">
        <v>752</v>
      </c>
      <c r="K355" s="623">
        <v>1482</v>
      </c>
      <c r="L355" s="623">
        <v>70</v>
      </c>
      <c r="M355" s="139"/>
      <c r="N355" s="146">
        <f t="shared" si="254"/>
        <v>1000</v>
      </c>
      <c r="O355" s="164"/>
      <c r="P355" s="46">
        <v>1000</v>
      </c>
      <c r="Q355" s="151"/>
      <c r="R355" s="146"/>
      <c r="S355" s="146">
        <f>SUM(T355:W355)</f>
        <v>728</v>
      </c>
      <c r="T355" s="624"/>
      <c r="U355" s="553">
        <f>423+305</f>
        <v>728</v>
      </c>
      <c r="V355" s="164"/>
      <c r="W355" s="164"/>
      <c r="X355" s="146">
        <f t="shared" si="256"/>
        <v>1000</v>
      </c>
      <c r="Y355" s="164"/>
      <c r="Z355" s="46">
        <v>1000</v>
      </c>
      <c r="AA355" s="151"/>
      <c r="AB355" s="146"/>
      <c r="AC355" s="146">
        <f t="shared" si="257"/>
        <v>1000</v>
      </c>
      <c r="AD355" s="164"/>
      <c r="AE355" s="46">
        <v>1000</v>
      </c>
      <c r="AF355" s="151"/>
      <c r="AG355" s="146"/>
      <c r="AH355" s="343"/>
    </row>
    <row r="356" spans="1:34" s="344" customFormat="1" ht="47.25">
      <c r="A356" s="136">
        <v>17</v>
      </c>
      <c r="B356" s="568" t="s">
        <v>753</v>
      </c>
      <c r="C356" s="618" t="s">
        <v>61</v>
      </c>
      <c r="D356" s="298" t="s">
        <v>315</v>
      </c>
      <c r="E356" s="298" t="s">
        <v>42</v>
      </c>
      <c r="F356" s="620">
        <v>8061243</v>
      </c>
      <c r="G356" s="541">
        <v>71</v>
      </c>
      <c r="H356" s="568" t="s">
        <v>748</v>
      </c>
      <c r="I356" s="255"/>
      <c r="J356" s="149" t="s">
        <v>754</v>
      </c>
      <c r="K356" s="623">
        <v>1505</v>
      </c>
      <c r="L356" s="623">
        <v>71</v>
      </c>
      <c r="M356" s="139"/>
      <c r="N356" s="146">
        <f t="shared" si="254"/>
        <v>1000</v>
      </c>
      <c r="O356" s="164"/>
      <c r="P356" s="146">
        <v>1000</v>
      </c>
      <c r="Q356" s="151"/>
      <c r="R356" s="146"/>
      <c r="S356" s="146">
        <f t="shared" si="255"/>
        <v>380.334</v>
      </c>
      <c r="T356" s="624"/>
      <c r="U356" s="553">
        <f>380334000/1000000</f>
        <v>380.334</v>
      </c>
      <c r="V356" s="164"/>
      <c r="W356" s="164"/>
      <c r="X356" s="146">
        <f t="shared" si="256"/>
        <v>1000</v>
      </c>
      <c r="Y356" s="164"/>
      <c r="Z356" s="146">
        <v>1000</v>
      </c>
      <c r="AA356" s="151"/>
      <c r="AB356" s="146"/>
      <c r="AC356" s="146">
        <f t="shared" si="257"/>
        <v>1000</v>
      </c>
      <c r="AD356" s="164"/>
      <c r="AE356" s="146">
        <v>1000</v>
      </c>
      <c r="AF356" s="151"/>
      <c r="AG356" s="146"/>
      <c r="AH356" s="343"/>
    </row>
    <row r="357" spans="1:34" s="344" customFormat="1" ht="47.25">
      <c r="A357" s="136">
        <v>18</v>
      </c>
      <c r="B357" s="568" t="s">
        <v>755</v>
      </c>
      <c r="C357" s="618" t="s">
        <v>61</v>
      </c>
      <c r="D357" s="298" t="s">
        <v>301</v>
      </c>
      <c r="E357" s="298" t="s">
        <v>42</v>
      </c>
      <c r="F357" s="620" t="s">
        <v>756</v>
      </c>
      <c r="G357" s="541">
        <v>71</v>
      </c>
      <c r="H357" s="568" t="s">
        <v>748</v>
      </c>
      <c r="I357" s="255"/>
      <c r="J357" s="149" t="s">
        <v>757</v>
      </c>
      <c r="K357" s="623">
        <v>1537</v>
      </c>
      <c r="L357" s="623">
        <v>73</v>
      </c>
      <c r="M357" s="139"/>
      <c r="N357" s="146">
        <f t="shared" si="254"/>
        <v>1000</v>
      </c>
      <c r="O357" s="164"/>
      <c r="P357" s="146">
        <v>1000</v>
      </c>
      <c r="Q357" s="151"/>
      <c r="R357" s="146"/>
      <c r="S357" s="146">
        <f t="shared" si="255"/>
        <v>393.00299999999999</v>
      </c>
      <c r="T357" s="624"/>
      <c r="U357" s="553">
        <f>393003000/1000000</f>
        <v>393.00299999999999</v>
      </c>
      <c r="V357" s="164"/>
      <c r="W357" s="164"/>
      <c r="X357" s="146">
        <f t="shared" si="256"/>
        <v>1000</v>
      </c>
      <c r="Y357" s="164"/>
      <c r="Z357" s="146">
        <v>1000</v>
      </c>
      <c r="AA357" s="151"/>
      <c r="AB357" s="146"/>
      <c r="AC357" s="146">
        <f t="shared" si="257"/>
        <v>1000</v>
      </c>
      <c r="AD357" s="164"/>
      <c r="AE357" s="146">
        <v>1000</v>
      </c>
      <c r="AF357" s="151"/>
      <c r="AG357" s="146"/>
      <c r="AH357" s="343"/>
    </row>
    <row r="358" spans="1:34" s="344" customFormat="1" ht="47.25">
      <c r="A358" s="136">
        <v>19</v>
      </c>
      <c r="B358" s="568" t="s">
        <v>758</v>
      </c>
      <c r="C358" s="618" t="s">
        <v>61</v>
      </c>
      <c r="D358" s="298" t="s">
        <v>129</v>
      </c>
      <c r="E358" s="298" t="s">
        <v>42</v>
      </c>
      <c r="F358" s="620">
        <v>8078553</v>
      </c>
      <c r="G358" s="541">
        <v>72</v>
      </c>
      <c r="H358" s="568" t="s">
        <v>759</v>
      </c>
      <c r="I358" s="255"/>
      <c r="J358" s="149" t="s">
        <v>760</v>
      </c>
      <c r="K358" s="623">
        <v>2045</v>
      </c>
      <c r="L358" s="623">
        <v>97</v>
      </c>
      <c r="M358" s="139"/>
      <c r="N358" s="146">
        <f t="shared" si="254"/>
        <v>1367.9645</v>
      </c>
      <c r="O358" s="164"/>
      <c r="P358" s="146">
        <f>(1400000000-32035500)/1000000</f>
        <v>1367.9645</v>
      </c>
      <c r="Q358" s="151"/>
      <c r="R358" s="146"/>
      <c r="S358" s="146">
        <f t="shared" si="255"/>
        <v>399.81099999999998</v>
      </c>
      <c r="T358" s="624"/>
      <c r="U358" s="553">
        <f>399811000/1000000</f>
        <v>399.81099999999998</v>
      </c>
      <c r="V358" s="164"/>
      <c r="W358" s="164"/>
      <c r="X358" s="146">
        <f t="shared" si="256"/>
        <v>1367.9645</v>
      </c>
      <c r="Y358" s="164"/>
      <c r="Z358" s="146">
        <f>(1400000000-32035500)/1000000</f>
        <v>1367.9645</v>
      </c>
      <c r="AA358" s="151"/>
      <c r="AB358" s="146"/>
      <c r="AC358" s="146">
        <f t="shared" si="257"/>
        <v>1367.9645</v>
      </c>
      <c r="AD358" s="164"/>
      <c r="AE358" s="146">
        <f>(1400000000-32035500)/1000000</f>
        <v>1367.9645</v>
      </c>
      <c r="AF358" s="151"/>
      <c r="AG358" s="146"/>
      <c r="AH358" s="343"/>
    </row>
    <row r="359" spans="1:34" s="344" customFormat="1" ht="47.25">
      <c r="A359" s="136">
        <v>20</v>
      </c>
      <c r="B359" s="568" t="s">
        <v>761</v>
      </c>
      <c r="C359" s="618" t="s">
        <v>61</v>
      </c>
      <c r="D359" s="298" t="s">
        <v>66</v>
      </c>
      <c r="E359" s="298" t="s">
        <v>42</v>
      </c>
      <c r="F359" s="620" t="s">
        <v>762</v>
      </c>
      <c r="G359" s="541">
        <v>11</v>
      </c>
      <c r="H359" s="568" t="s">
        <v>763</v>
      </c>
      <c r="I359" s="255"/>
      <c r="J359" s="149" t="s">
        <v>764</v>
      </c>
      <c r="K359" s="623">
        <v>998</v>
      </c>
      <c r="L359" s="623">
        <v>0</v>
      </c>
      <c r="M359" s="139"/>
      <c r="N359" s="146">
        <f t="shared" si="254"/>
        <v>900</v>
      </c>
      <c r="O359" s="164"/>
      <c r="P359" s="46">
        <v>900</v>
      </c>
      <c r="Q359" s="151"/>
      <c r="R359" s="146"/>
      <c r="S359" s="146">
        <f t="shared" si="255"/>
        <v>576.79499999999996</v>
      </c>
      <c r="T359" s="624"/>
      <c r="U359" s="553">
        <f>576795000/1000000</f>
        <v>576.79499999999996</v>
      </c>
      <c r="V359" s="164"/>
      <c r="W359" s="164"/>
      <c r="X359" s="146">
        <f t="shared" si="256"/>
        <v>900</v>
      </c>
      <c r="Y359" s="164"/>
      <c r="Z359" s="46">
        <v>900</v>
      </c>
      <c r="AA359" s="151"/>
      <c r="AB359" s="146"/>
      <c r="AC359" s="146">
        <f t="shared" si="257"/>
        <v>900</v>
      </c>
      <c r="AD359" s="164"/>
      <c r="AE359" s="46">
        <v>900</v>
      </c>
      <c r="AF359" s="151"/>
      <c r="AG359" s="146"/>
      <c r="AH359" s="343"/>
    </row>
    <row r="360" spans="1:34" s="344" customFormat="1" ht="47.25">
      <c r="A360" s="136">
        <v>21</v>
      </c>
      <c r="B360" s="568" t="s">
        <v>765</v>
      </c>
      <c r="C360" s="618" t="s">
        <v>61</v>
      </c>
      <c r="D360" s="298" t="s">
        <v>301</v>
      </c>
      <c r="E360" s="298" t="s">
        <v>42</v>
      </c>
      <c r="F360" s="620" t="s">
        <v>766</v>
      </c>
      <c r="G360" s="541">
        <v>71</v>
      </c>
      <c r="H360" s="568" t="s">
        <v>767</v>
      </c>
      <c r="I360" s="255"/>
      <c r="J360" s="149" t="s">
        <v>768</v>
      </c>
      <c r="K360" s="623">
        <v>1049</v>
      </c>
      <c r="L360" s="623">
        <v>67</v>
      </c>
      <c r="M360" s="139"/>
      <c r="N360" s="146">
        <f t="shared" si="254"/>
        <v>835</v>
      </c>
      <c r="O360" s="164"/>
      <c r="P360" s="146">
        <v>835</v>
      </c>
      <c r="Q360" s="151"/>
      <c r="R360" s="146"/>
      <c r="S360" s="146">
        <f t="shared" si="255"/>
        <v>318.49</v>
      </c>
      <c r="T360" s="624"/>
      <c r="U360" s="553">
        <f>318490000/1000000</f>
        <v>318.49</v>
      </c>
      <c r="V360" s="164"/>
      <c r="W360" s="164"/>
      <c r="X360" s="146">
        <f t="shared" si="256"/>
        <v>835</v>
      </c>
      <c r="Y360" s="164"/>
      <c r="Z360" s="146">
        <v>835</v>
      </c>
      <c r="AA360" s="151"/>
      <c r="AB360" s="146"/>
      <c r="AC360" s="146">
        <f t="shared" si="257"/>
        <v>835</v>
      </c>
      <c r="AD360" s="164"/>
      <c r="AE360" s="146">
        <v>835</v>
      </c>
      <c r="AF360" s="151"/>
      <c r="AG360" s="146"/>
      <c r="AH360" s="343"/>
    </row>
    <row r="361" spans="1:34" s="344" customFormat="1" ht="47.25">
      <c r="A361" s="136">
        <v>22</v>
      </c>
      <c r="B361" s="568" t="s">
        <v>769</v>
      </c>
      <c r="C361" s="618" t="s">
        <v>770</v>
      </c>
      <c r="D361" s="298" t="s">
        <v>162</v>
      </c>
      <c r="E361" s="298" t="s">
        <v>42</v>
      </c>
      <c r="F361" s="620">
        <v>7004686</v>
      </c>
      <c r="G361" s="541">
        <v>11</v>
      </c>
      <c r="H361" s="568" t="s">
        <v>771</v>
      </c>
      <c r="I361" s="255"/>
      <c r="J361" s="149" t="s">
        <v>772</v>
      </c>
      <c r="K361" s="623">
        <v>959</v>
      </c>
      <c r="L361" s="623">
        <v>45</v>
      </c>
      <c r="M361" s="139"/>
      <c r="N361" s="146">
        <f t="shared" ref="N361:N362" si="258">SUM(O361:R361)</f>
        <v>700</v>
      </c>
      <c r="O361" s="164"/>
      <c r="P361" s="146">
        <v>700</v>
      </c>
      <c r="Q361" s="151"/>
      <c r="R361" s="146"/>
      <c r="S361" s="146">
        <f>SUM(T361:W361)</f>
        <v>527</v>
      </c>
      <c r="T361" s="624"/>
      <c r="U361" s="625">
        <v>527</v>
      </c>
      <c r="V361" s="164"/>
      <c r="W361" s="164"/>
      <c r="X361" s="146">
        <f t="shared" ref="X361:X362" si="259">SUM(Y361:AB361)</f>
        <v>700</v>
      </c>
      <c r="Y361" s="164"/>
      <c r="Z361" s="146">
        <v>700</v>
      </c>
      <c r="AA361" s="151"/>
      <c r="AB361" s="146"/>
      <c r="AC361" s="146">
        <f t="shared" ref="AC361:AC362" si="260">SUM(AD361:AG361)</f>
        <v>700</v>
      </c>
      <c r="AD361" s="164"/>
      <c r="AE361" s="146">
        <v>700</v>
      </c>
      <c r="AF361" s="151"/>
      <c r="AG361" s="146"/>
      <c r="AH361" s="343"/>
    </row>
    <row r="362" spans="1:34" s="344" customFormat="1" ht="47.25">
      <c r="A362" s="136">
        <v>23</v>
      </c>
      <c r="B362" s="568" t="s">
        <v>773</v>
      </c>
      <c r="C362" s="618" t="s">
        <v>770</v>
      </c>
      <c r="D362" s="298" t="s">
        <v>162</v>
      </c>
      <c r="E362" s="298" t="s">
        <v>42</v>
      </c>
      <c r="F362" s="620">
        <v>7004686</v>
      </c>
      <c r="G362" s="541">
        <v>11</v>
      </c>
      <c r="H362" s="568" t="s">
        <v>774</v>
      </c>
      <c r="I362" s="255"/>
      <c r="J362" s="149" t="s">
        <v>775</v>
      </c>
      <c r="K362" s="623">
        <v>1187</v>
      </c>
      <c r="L362" s="623">
        <v>56</v>
      </c>
      <c r="M362" s="139"/>
      <c r="N362" s="146">
        <f t="shared" si="258"/>
        <v>700</v>
      </c>
      <c r="O362" s="164"/>
      <c r="P362" s="46">
        <v>700</v>
      </c>
      <c r="Q362" s="151"/>
      <c r="R362" s="146"/>
      <c r="S362" s="146">
        <f t="shared" si="255"/>
        <v>664</v>
      </c>
      <c r="T362" s="624"/>
      <c r="U362" s="625">
        <v>664</v>
      </c>
      <c r="V362" s="164"/>
      <c r="W362" s="164"/>
      <c r="X362" s="146">
        <f t="shared" si="259"/>
        <v>700</v>
      </c>
      <c r="Y362" s="164"/>
      <c r="Z362" s="46">
        <v>700</v>
      </c>
      <c r="AA362" s="151"/>
      <c r="AB362" s="146"/>
      <c r="AC362" s="146">
        <f t="shared" si="260"/>
        <v>700</v>
      </c>
      <c r="AD362" s="164"/>
      <c r="AE362" s="46">
        <v>700</v>
      </c>
      <c r="AF362" s="151"/>
      <c r="AG362" s="146"/>
      <c r="AH362" s="343"/>
    </row>
    <row r="363" spans="1:34" s="344" customFormat="1" ht="31.5">
      <c r="A363" s="554" t="s">
        <v>543</v>
      </c>
      <c r="B363" s="555" t="s">
        <v>544</v>
      </c>
      <c r="C363" s="556"/>
      <c r="D363" s="557"/>
      <c r="E363" s="558"/>
      <c r="F363" s="559"/>
      <c r="G363" s="183"/>
      <c r="H363" s="557"/>
      <c r="I363" s="560"/>
      <c r="J363" s="561"/>
      <c r="K363" s="183">
        <f>K364+K379</f>
        <v>127671.95999999999</v>
      </c>
      <c r="L363" s="183">
        <f t="shared" ref="L363:R363" si="261">L364+L379</f>
        <v>2183.9360350000002</v>
      </c>
      <c r="M363" s="183">
        <f t="shared" si="261"/>
        <v>0</v>
      </c>
      <c r="N363" s="183">
        <f t="shared" si="261"/>
        <v>31345.09</v>
      </c>
      <c r="O363" s="183">
        <f t="shared" si="261"/>
        <v>0</v>
      </c>
      <c r="P363" s="183">
        <f t="shared" si="261"/>
        <v>0</v>
      </c>
      <c r="Q363" s="183">
        <f t="shared" si="261"/>
        <v>0</v>
      </c>
      <c r="R363" s="183">
        <f t="shared" si="261"/>
        <v>31345.09</v>
      </c>
      <c r="S363" s="183">
        <f t="shared" ref="S363:AB363" si="262">S364+S379</f>
        <v>31345.09</v>
      </c>
      <c r="T363" s="183">
        <f t="shared" si="262"/>
        <v>0</v>
      </c>
      <c r="U363" s="183">
        <f t="shared" si="262"/>
        <v>0</v>
      </c>
      <c r="V363" s="183">
        <f t="shared" si="262"/>
        <v>0</v>
      </c>
      <c r="W363" s="183">
        <f t="shared" si="262"/>
        <v>31345.09</v>
      </c>
      <c r="X363" s="183">
        <f t="shared" si="262"/>
        <v>31345.09</v>
      </c>
      <c r="Y363" s="183">
        <f t="shared" si="262"/>
        <v>0</v>
      </c>
      <c r="Z363" s="183">
        <f t="shared" si="262"/>
        <v>0</v>
      </c>
      <c r="AA363" s="183">
        <f t="shared" si="262"/>
        <v>0</v>
      </c>
      <c r="AB363" s="183">
        <f t="shared" si="262"/>
        <v>31345.09</v>
      </c>
      <c r="AC363" s="183">
        <f t="shared" ref="AC363:AG363" si="263">AC364+AC379</f>
        <v>31345.09</v>
      </c>
      <c r="AD363" s="183">
        <f t="shared" si="263"/>
        <v>0</v>
      </c>
      <c r="AE363" s="183">
        <f t="shared" si="263"/>
        <v>0</v>
      </c>
      <c r="AF363" s="183">
        <f t="shared" si="263"/>
        <v>0</v>
      </c>
      <c r="AG363" s="183">
        <f t="shared" si="263"/>
        <v>31345.09</v>
      </c>
      <c r="AH363" s="562">
        <f>AB363/N363</f>
        <v>1</v>
      </c>
    </row>
    <row r="364" spans="1:34" ht="31.5">
      <c r="A364" s="413"/>
      <c r="B364" s="209" t="s">
        <v>516</v>
      </c>
      <c r="C364" s="212"/>
      <c r="D364" s="110"/>
      <c r="E364" s="111"/>
      <c r="F364" s="113"/>
      <c r="G364" s="46"/>
      <c r="H364" s="212"/>
      <c r="I364" s="112"/>
      <c r="J364" s="212"/>
      <c r="K364" s="48">
        <f>K365+K372+K374</f>
        <v>79842</v>
      </c>
      <c r="L364" s="48">
        <f t="shared" ref="L364:R364" si="264">L365+L372+L374</f>
        <v>0</v>
      </c>
      <c r="M364" s="48">
        <f t="shared" si="264"/>
        <v>0</v>
      </c>
      <c r="N364" s="48">
        <f t="shared" si="264"/>
        <v>19962.109</v>
      </c>
      <c r="O364" s="48">
        <f t="shared" si="264"/>
        <v>0</v>
      </c>
      <c r="P364" s="48">
        <f t="shared" si="264"/>
        <v>0</v>
      </c>
      <c r="Q364" s="48">
        <f t="shared" si="264"/>
        <v>0</v>
      </c>
      <c r="R364" s="48">
        <f t="shared" si="264"/>
        <v>19962.109</v>
      </c>
      <c r="S364" s="48">
        <f t="shared" ref="S364:AB364" si="265">S365+S372+S374</f>
        <v>19962.109</v>
      </c>
      <c r="T364" s="48">
        <f t="shared" si="265"/>
        <v>0</v>
      </c>
      <c r="U364" s="48">
        <f t="shared" si="265"/>
        <v>0</v>
      </c>
      <c r="V364" s="48">
        <f t="shared" si="265"/>
        <v>0</v>
      </c>
      <c r="W364" s="48">
        <f t="shared" si="265"/>
        <v>19962.109</v>
      </c>
      <c r="X364" s="48">
        <f t="shared" si="265"/>
        <v>19962.109</v>
      </c>
      <c r="Y364" s="48">
        <f t="shared" si="265"/>
        <v>0</v>
      </c>
      <c r="Z364" s="48">
        <f t="shared" si="265"/>
        <v>0</v>
      </c>
      <c r="AA364" s="48">
        <f t="shared" si="265"/>
        <v>0</v>
      </c>
      <c r="AB364" s="48">
        <f t="shared" si="265"/>
        <v>19962.109</v>
      </c>
      <c r="AC364" s="48">
        <f t="shared" ref="AC364:AG364" si="266">AC365+AC372+AC374</f>
        <v>19962.109</v>
      </c>
      <c r="AD364" s="48">
        <f t="shared" si="266"/>
        <v>0</v>
      </c>
      <c r="AE364" s="48">
        <f t="shared" si="266"/>
        <v>0</v>
      </c>
      <c r="AF364" s="48">
        <f t="shared" si="266"/>
        <v>0</v>
      </c>
      <c r="AG364" s="48">
        <f t="shared" si="266"/>
        <v>19962.109</v>
      </c>
      <c r="AH364" s="3"/>
    </row>
    <row r="365" spans="1:34" s="139" customFormat="1">
      <c r="A365" s="413"/>
      <c r="B365" s="209" t="s">
        <v>91</v>
      </c>
      <c r="C365" s="212"/>
      <c r="D365" s="212"/>
      <c r="E365" s="212"/>
      <c r="F365" s="212"/>
      <c r="G365" s="212"/>
      <c r="H365" s="212"/>
      <c r="I365" s="212"/>
      <c r="J365" s="212"/>
      <c r="K365" s="292">
        <f>SUM(K366:K371)</f>
        <v>36238</v>
      </c>
      <c r="L365" s="292">
        <f t="shared" ref="L365:R365" si="267">SUM(L366:L371)</f>
        <v>0</v>
      </c>
      <c r="M365" s="292">
        <f t="shared" si="267"/>
        <v>0</v>
      </c>
      <c r="N365" s="292">
        <f t="shared" si="267"/>
        <v>5970.9960000000001</v>
      </c>
      <c r="O365" s="292">
        <f t="shared" si="267"/>
        <v>0</v>
      </c>
      <c r="P365" s="292">
        <f t="shared" si="267"/>
        <v>0</v>
      </c>
      <c r="Q365" s="292">
        <f t="shared" si="267"/>
        <v>0</v>
      </c>
      <c r="R365" s="292">
        <f t="shared" si="267"/>
        <v>5970.9960000000001</v>
      </c>
      <c r="S365" s="292">
        <f t="shared" ref="S365:AB365" si="268">SUM(S366:S371)</f>
        <v>5970.9960000000001</v>
      </c>
      <c r="T365" s="292">
        <f t="shared" si="268"/>
        <v>0</v>
      </c>
      <c r="U365" s="292">
        <f t="shared" si="268"/>
        <v>0</v>
      </c>
      <c r="V365" s="292">
        <f t="shared" si="268"/>
        <v>0</v>
      </c>
      <c r="W365" s="292">
        <f t="shared" si="268"/>
        <v>5970.9960000000001</v>
      </c>
      <c r="X365" s="292">
        <f t="shared" si="268"/>
        <v>5970.9960000000001</v>
      </c>
      <c r="Y365" s="292">
        <f t="shared" si="268"/>
        <v>0</v>
      </c>
      <c r="Z365" s="292">
        <f t="shared" si="268"/>
        <v>0</v>
      </c>
      <c r="AA365" s="292">
        <f t="shared" si="268"/>
        <v>0</v>
      </c>
      <c r="AB365" s="292">
        <f t="shared" si="268"/>
        <v>5970.9960000000001</v>
      </c>
      <c r="AC365" s="292">
        <f t="shared" ref="AC365:AG365" si="269">SUM(AC366:AC371)</f>
        <v>5970.9960000000001</v>
      </c>
      <c r="AD365" s="292">
        <f t="shared" si="269"/>
        <v>0</v>
      </c>
      <c r="AE365" s="292">
        <f t="shared" si="269"/>
        <v>0</v>
      </c>
      <c r="AF365" s="292">
        <f t="shared" si="269"/>
        <v>0</v>
      </c>
      <c r="AG365" s="292">
        <f t="shared" si="269"/>
        <v>5970.9960000000001</v>
      </c>
      <c r="AH365" s="292">
        <f>SUM(AH366:AH371)</f>
        <v>0</v>
      </c>
    </row>
    <row r="366" spans="1:34" ht="63">
      <c r="A366" s="563">
        <v>1</v>
      </c>
      <c r="B366" s="564" t="s">
        <v>517</v>
      </c>
      <c r="C366" s="149" t="s">
        <v>61</v>
      </c>
      <c r="D366" s="565" t="s">
        <v>102</v>
      </c>
      <c r="E366" s="298" t="s">
        <v>42</v>
      </c>
      <c r="F366" s="566">
        <v>8008350</v>
      </c>
      <c r="G366" s="567">
        <v>292</v>
      </c>
      <c r="H366" s="568" t="s">
        <v>535</v>
      </c>
      <c r="I366" s="255" t="s">
        <v>80</v>
      </c>
      <c r="J366" s="174" t="s">
        <v>527</v>
      </c>
      <c r="K366" s="567">
        <v>10753</v>
      </c>
      <c r="L366" s="567"/>
      <c r="M366" s="146"/>
      <c r="N366" s="146">
        <f t="shared" ref="N366:N371" si="270">SUM(O366:R366)</f>
        <v>1500</v>
      </c>
      <c r="O366" s="146"/>
      <c r="P366" s="139"/>
      <c r="Q366" s="151"/>
      <c r="R366" s="567">
        <v>1500</v>
      </c>
      <c r="S366" s="146">
        <f t="shared" ref="S366:S371" si="271">SUM(T366:W366)</f>
        <v>1500</v>
      </c>
      <c r="T366" s="146"/>
      <c r="U366" s="139"/>
      <c r="V366" s="151"/>
      <c r="W366" s="567">
        <v>1500</v>
      </c>
      <c r="X366" s="146">
        <f t="shared" ref="X366:X371" si="272">SUM(Y366:AB366)</f>
        <v>1500</v>
      </c>
      <c r="Y366" s="146"/>
      <c r="Z366" s="139"/>
      <c r="AA366" s="151"/>
      <c r="AB366" s="567">
        <v>1500</v>
      </c>
      <c r="AC366" s="146">
        <f t="shared" ref="AC366:AC371" si="273">SUM(AD366:AG366)</f>
        <v>1500</v>
      </c>
      <c r="AD366" s="146"/>
      <c r="AE366" s="139"/>
      <c r="AF366" s="151"/>
      <c r="AG366" s="567">
        <v>1500</v>
      </c>
      <c r="AH366" s="3"/>
    </row>
    <row r="367" spans="1:34" ht="63">
      <c r="A367" s="563">
        <v>2</v>
      </c>
      <c r="B367" s="564" t="s">
        <v>518</v>
      </c>
      <c r="C367" s="149" t="s">
        <v>61</v>
      </c>
      <c r="D367" s="565" t="s">
        <v>102</v>
      </c>
      <c r="E367" s="298" t="s">
        <v>42</v>
      </c>
      <c r="F367" s="566">
        <v>8011581</v>
      </c>
      <c r="G367" s="567">
        <v>292</v>
      </c>
      <c r="H367" s="568" t="s">
        <v>536</v>
      </c>
      <c r="I367" s="255" t="s">
        <v>80</v>
      </c>
      <c r="J367" s="174" t="s">
        <v>528</v>
      </c>
      <c r="K367" s="567">
        <v>6047</v>
      </c>
      <c r="L367" s="567"/>
      <c r="M367" s="569"/>
      <c r="N367" s="146">
        <f t="shared" si="270"/>
        <v>462.10899999999998</v>
      </c>
      <c r="O367" s="569"/>
      <c r="P367" s="139"/>
      <c r="Q367" s="569"/>
      <c r="R367" s="567">
        <f>500-37.891</f>
        <v>462.10899999999998</v>
      </c>
      <c r="S367" s="146">
        <f t="shared" si="271"/>
        <v>462.10899999999998</v>
      </c>
      <c r="T367" s="569"/>
      <c r="U367" s="139"/>
      <c r="V367" s="569"/>
      <c r="W367" s="567">
        <f>500-37.891</f>
        <v>462.10899999999998</v>
      </c>
      <c r="X367" s="146">
        <f t="shared" si="272"/>
        <v>462.10899999999998</v>
      </c>
      <c r="Y367" s="569"/>
      <c r="Z367" s="139"/>
      <c r="AA367" s="569"/>
      <c r="AB367" s="567">
        <f>500-37.891</f>
        <v>462.10899999999998</v>
      </c>
      <c r="AC367" s="146">
        <f t="shared" si="273"/>
        <v>462.10899999999998</v>
      </c>
      <c r="AD367" s="569"/>
      <c r="AE367" s="139"/>
      <c r="AF367" s="569"/>
      <c r="AG367" s="567">
        <f>500-37.891</f>
        <v>462.10899999999998</v>
      </c>
      <c r="AH367" s="3"/>
    </row>
    <row r="368" spans="1:34" ht="63">
      <c r="A368" s="563">
        <v>3</v>
      </c>
      <c r="B368" s="564" t="s">
        <v>118</v>
      </c>
      <c r="C368" s="149" t="s">
        <v>61</v>
      </c>
      <c r="D368" s="568" t="s">
        <v>102</v>
      </c>
      <c r="E368" s="298" t="s">
        <v>42</v>
      </c>
      <c r="F368" s="255">
        <v>8012055</v>
      </c>
      <c r="G368" s="567">
        <v>292</v>
      </c>
      <c r="H368" s="568" t="s">
        <v>120</v>
      </c>
      <c r="I368" s="255" t="s">
        <v>80</v>
      </c>
      <c r="J368" s="174" t="s">
        <v>123</v>
      </c>
      <c r="K368" s="567">
        <v>6052</v>
      </c>
      <c r="L368" s="567"/>
      <c r="M368" s="146"/>
      <c r="N368" s="146">
        <f t="shared" si="270"/>
        <v>1300</v>
      </c>
      <c r="O368" s="146"/>
      <c r="P368" s="139"/>
      <c r="Q368" s="151"/>
      <c r="R368" s="567">
        <v>1300</v>
      </c>
      <c r="S368" s="146">
        <f t="shared" si="271"/>
        <v>1300</v>
      </c>
      <c r="T368" s="146"/>
      <c r="U368" s="139"/>
      <c r="V368" s="151"/>
      <c r="W368" s="567">
        <v>1300</v>
      </c>
      <c r="X368" s="146">
        <f t="shared" si="272"/>
        <v>1300</v>
      </c>
      <c r="Y368" s="146"/>
      <c r="Z368" s="139"/>
      <c r="AA368" s="151"/>
      <c r="AB368" s="567">
        <v>1300</v>
      </c>
      <c r="AC368" s="146">
        <f t="shared" si="273"/>
        <v>1300</v>
      </c>
      <c r="AD368" s="146"/>
      <c r="AE368" s="139"/>
      <c r="AF368" s="151"/>
      <c r="AG368" s="567">
        <v>1300</v>
      </c>
      <c r="AH368" s="3"/>
    </row>
    <row r="369" spans="1:34" ht="63">
      <c r="A369" s="570">
        <v>4</v>
      </c>
      <c r="B369" s="175" t="s">
        <v>158</v>
      </c>
      <c r="C369" s="109" t="s">
        <v>61</v>
      </c>
      <c r="D369" s="172" t="s">
        <v>102</v>
      </c>
      <c r="E369" s="111" t="s">
        <v>42</v>
      </c>
      <c r="F369" s="173">
        <v>8012054</v>
      </c>
      <c r="G369" s="571">
        <v>292</v>
      </c>
      <c r="H369" s="172" t="s">
        <v>121</v>
      </c>
      <c r="I369" s="173" t="s">
        <v>80</v>
      </c>
      <c r="J369" s="176" t="s">
        <v>124</v>
      </c>
      <c r="K369" s="571">
        <v>6363</v>
      </c>
      <c r="L369" s="571"/>
      <c r="M369" s="146"/>
      <c r="N369" s="46">
        <f t="shared" si="270"/>
        <v>1200</v>
      </c>
      <c r="O369" s="146"/>
      <c r="P369" s="139"/>
      <c r="Q369" s="151"/>
      <c r="R369" s="571">
        <v>1200</v>
      </c>
      <c r="S369" s="46">
        <f t="shared" si="271"/>
        <v>1200</v>
      </c>
      <c r="T369" s="146"/>
      <c r="U369" s="139"/>
      <c r="V369" s="151"/>
      <c r="W369" s="571">
        <v>1200</v>
      </c>
      <c r="X369" s="46">
        <f t="shared" si="272"/>
        <v>1200</v>
      </c>
      <c r="Y369" s="146"/>
      <c r="Z369" s="139"/>
      <c r="AA369" s="151"/>
      <c r="AB369" s="571">
        <v>1200</v>
      </c>
      <c r="AC369" s="46">
        <f t="shared" si="273"/>
        <v>1200</v>
      </c>
      <c r="AD369" s="146"/>
      <c r="AE369" s="139"/>
      <c r="AF369" s="151"/>
      <c r="AG369" s="571">
        <v>1200</v>
      </c>
      <c r="AH369" s="3"/>
    </row>
    <row r="370" spans="1:34" ht="63">
      <c r="A370" s="563">
        <v>5</v>
      </c>
      <c r="B370" s="564" t="s">
        <v>119</v>
      </c>
      <c r="C370" s="149" t="s">
        <v>61</v>
      </c>
      <c r="D370" s="568" t="s">
        <v>102</v>
      </c>
      <c r="E370" s="298" t="s">
        <v>42</v>
      </c>
      <c r="F370" s="255">
        <v>8011584</v>
      </c>
      <c r="G370" s="567">
        <v>292</v>
      </c>
      <c r="H370" s="568" t="s">
        <v>122</v>
      </c>
      <c r="I370" s="255" t="s">
        <v>80</v>
      </c>
      <c r="J370" s="174" t="s">
        <v>125</v>
      </c>
      <c r="K370" s="567">
        <v>3710</v>
      </c>
      <c r="L370" s="567"/>
      <c r="M370" s="146"/>
      <c r="N370" s="146">
        <f t="shared" si="270"/>
        <v>800</v>
      </c>
      <c r="O370" s="146"/>
      <c r="P370" s="139"/>
      <c r="Q370" s="151"/>
      <c r="R370" s="567">
        <v>800</v>
      </c>
      <c r="S370" s="146">
        <f t="shared" si="271"/>
        <v>800</v>
      </c>
      <c r="T370" s="146"/>
      <c r="U370" s="139"/>
      <c r="V370" s="151"/>
      <c r="W370" s="567">
        <v>800</v>
      </c>
      <c r="X370" s="146">
        <f t="shared" si="272"/>
        <v>800</v>
      </c>
      <c r="Y370" s="146"/>
      <c r="Z370" s="139"/>
      <c r="AA370" s="151"/>
      <c r="AB370" s="567">
        <v>800</v>
      </c>
      <c r="AC370" s="146">
        <f t="shared" si="273"/>
        <v>800</v>
      </c>
      <c r="AD370" s="146"/>
      <c r="AE370" s="139"/>
      <c r="AF370" s="151"/>
      <c r="AG370" s="567">
        <v>800</v>
      </c>
      <c r="AH370" s="3"/>
    </row>
    <row r="371" spans="1:34" ht="63">
      <c r="A371" s="563">
        <v>6</v>
      </c>
      <c r="B371" s="564" t="s">
        <v>519</v>
      </c>
      <c r="C371" s="149" t="s">
        <v>61</v>
      </c>
      <c r="D371" s="568" t="s">
        <v>102</v>
      </c>
      <c r="E371" s="298" t="s">
        <v>42</v>
      </c>
      <c r="F371" s="566">
        <v>8011576</v>
      </c>
      <c r="G371" s="567">
        <v>292</v>
      </c>
      <c r="H371" s="568" t="s">
        <v>537</v>
      </c>
      <c r="I371" s="255" t="s">
        <v>80</v>
      </c>
      <c r="J371" s="174" t="s">
        <v>529</v>
      </c>
      <c r="K371" s="567">
        <v>3313</v>
      </c>
      <c r="L371" s="567"/>
      <c r="M371" s="146"/>
      <c r="N371" s="146">
        <f t="shared" si="270"/>
        <v>708.88699999999994</v>
      </c>
      <c r="O371" s="146"/>
      <c r="P371" s="139"/>
      <c r="Q371" s="151"/>
      <c r="R371" s="441">
        <f>708887000/1000000</f>
        <v>708.88699999999994</v>
      </c>
      <c r="S371" s="146">
        <f t="shared" si="271"/>
        <v>708.88699999999994</v>
      </c>
      <c r="T371" s="146"/>
      <c r="U371" s="139"/>
      <c r="V371" s="151"/>
      <c r="W371" s="441">
        <f>708887000/1000000</f>
        <v>708.88699999999994</v>
      </c>
      <c r="X371" s="146">
        <f t="shared" si="272"/>
        <v>708.88699999999994</v>
      </c>
      <c r="Y371" s="146"/>
      <c r="Z371" s="139"/>
      <c r="AA371" s="151"/>
      <c r="AB371" s="441">
        <f>708887000/1000000</f>
        <v>708.88699999999994</v>
      </c>
      <c r="AC371" s="146">
        <f t="shared" si="273"/>
        <v>708.88699999999994</v>
      </c>
      <c r="AD371" s="146"/>
      <c r="AE371" s="139"/>
      <c r="AF371" s="151"/>
      <c r="AG371" s="441">
        <f>708887000/1000000</f>
        <v>708.88699999999994</v>
      </c>
      <c r="AH371" s="3"/>
    </row>
    <row r="372" spans="1:34">
      <c r="A372" s="288"/>
      <c r="B372" s="289" t="s">
        <v>520</v>
      </c>
      <c r="C372" s="193"/>
      <c r="D372" s="290"/>
      <c r="E372" s="218"/>
      <c r="F372" s="412"/>
      <c r="G372" s="292"/>
      <c r="H372" s="290"/>
      <c r="I372" s="293"/>
      <c r="J372" s="413"/>
      <c r="K372" s="292">
        <f>K373</f>
        <v>5000</v>
      </c>
      <c r="L372" s="292">
        <f t="shared" ref="L372:AG372" si="274">L373</f>
        <v>0</v>
      </c>
      <c r="M372" s="292">
        <f t="shared" si="274"/>
        <v>0</v>
      </c>
      <c r="N372" s="292">
        <f t="shared" si="274"/>
        <v>1580.0884000000001</v>
      </c>
      <c r="O372" s="292">
        <f t="shared" si="274"/>
        <v>0</v>
      </c>
      <c r="P372" s="292">
        <f t="shared" si="274"/>
        <v>0</v>
      </c>
      <c r="Q372" s="292">
        <f t="shared" si="274"/>
        <v>0</v>
      </c>
      <c r="R372" s="292">
        <f t="shared" si="274"/>
        <v>1580.0884000000001</v>
      </c>
      <c r="S372" s="292">
        <f t="shared" si="274"/>
        <v>1580.0884000000001</v>
      </c>
      <c r="T372" s="292">
        <f t="shared" si="274"/>
        <v>0</v>
      </c>
      <c r="U372" s="292">
        <f t="shared" si="274"/>
        <v>0</v>
      </c>
      <c r="V372" s="292">
        <f t="shared" si="274"/>
        <v>0</v>
      </c>
      <c r="W372" s="292">
        <f t="shared" si="274"/>
        <v>1580.0884000000001</v>
      </c>
      <c r="X372" s="292">
        <f t="shared" si="274"/>
        <v>1580.0884000000001</v>
      </c>
      <c r="Y372" s="292">
        <f t="shared" si="274"/>
        <v>0</v>
      </c>
      <c r="Z372" s="292">
        <f t="shared" si="274"/>
        <v>0</v>
      </c>
      <c r="AA372" s="292">
        <f t="shared" si="274"/>
        <v>0</v>
      </c>
      <c r="AB372" s="292">
        <f t="shared" si="274"/>
        <v>1580.0884000000001</v>
      </c>
      <c r="AC372" s="292">
        <f t="shared" si="274"/>
        <v>1580.0884000000001</v>
      </c>
      <c r="AD372" s="292">
        <f t="shared" si="274"/>
        <v>0</v>
      </c>
      <c r="AE372" s="292">
        <f t="shared" si="274"/>
        <v>0</v>
      </c>
      <c r="AF372" s="292">
        <f t="shared" si="274"/>
        <v>0</v>
      </c>
      <c r="AG372" s="292">
        <f t="shared" si="274"/>
        <v>1580.0884000000001</v>
      </c>
      <c r="AH372" s="3"/>
    </row>
    <row r="373" spans="1:34" ht="47.25">
      <c r="A373" s="563">
        <v>1</v>
      </c>
      <c r="B373" s="564" t="s">
        <v>521</v>
      </c>
      <c r="C373" s="149" t="s">
        <v>61</v>
      </c>
      <c r="D373" s="568" t="s">
        <v>102</v>
      </c>
      <c r="E373" s="298" t="s">
        <v>42</v>
      </c>
      <c r="F373" s="566">
        <v>8017207</v>
      </c>
      <c r="G373" s="567">
        <v>161</v>
      </c>
      <c r="H373" s="568" t="s">
        <v>538</v>
      </c>
      <c r="I373" s="255" t="s">
        <v>80</v>
      </c>
      <c r="J373" s="174" t="s">
        <v>530</v>
      </c>
      <c r="K373" s="567">
        <v>5000</v>
      </c>
      <c r="L373" s="567"/>
      <c r="M373" s="146"/>
      <c r="N373" s="146">
        <f>SUM(O373:R373)</f>
        <v>1580.0884000000001</v>
      </c>
      <c r="O373" s="146"/>
      <c r="P373" s="139"/>
      <c r="Q373" s="151"/>
      <c r="R373" s="441">
        <v>1580.0884000000001</v>
      </c>
      <c r="S373" s="146">
        <f>SUM(T373:W373)</f>
        <v>1580.0884000000001</v>
      </c>
      <c r="T373" s="146"/>
      <c r="U373" s="139"/>
      <c r="V373" s="151"/>
      <c r="W373" s="441">
        <v>1580.0884000000001</v>
      </c>
      <c r="X373" s="146">
        <f>SUM(Y373:AB373)</f>
        <v>1580.0884000000001</v>
      </c>
      <c r="Y373" s="146"/>
      <c r="Z373" s="139"/>
      <c r="AA373" s="151"/>
      <c r="AB373" s="441">
        <v>1580.0884000000001</v>
      </c>
      <c r="AC373" s="146">
        <f>SUM(AD373:AG373)</f>
        <v>1580.0884000000001</v>
      </c>
      <c r="AD373" s="146"/>
      <c r="AE373" s="139"/>
      <c r="AF373" s="151"/>
      <c r="AG373" s="441">
        <v>1580.0884000000001</v>
      </c>
      <c r="AH373" s="3"/>
    </row>
    <row r="374" spans="1:34">
      <c r="A374" s="288"/>
      <c r="B374" s="289" t="s">
        <v>92</v>
      </c>
      <c r="C374" s="193"/>
      <c r="D374" s="290"/>
      <c r="E374" s="218"/>
      <c r="F374" s="412"/>
      <c r="G374" s="292"/>
      <c r="H374" s="290"/>
      <c r="I374" s="293"/>
      <c r="J374" s="413"/>
      <c r="K374" s="292">
        <f>SUM(K375:K378)</f>
        <v>38604</v>
      </c>
      <c r="L374" s="292">
        <f t="shared" ref="L374:AH374" si="275">SUM(L375:L378)</f>
        <v>0</v>
      </c>
      <c r="M374" s="292">
        <f t="shared" si="275"/>
        <v>0</v>
      </c>
      <c r="N374" s="292">
        <f t="shared" si="275"/>
        <v>12411.024600000001</v>
      </c>
      <c r="O374" s="292">
        <f t="shared" si="275"/>
        <v>0</v>
      </c>
      <c r="P374" s="292">
        <f t="shared" si="275"/>
        <v>0</v>
      </c>
      <c r="Q374" s="292">
        <f t="shared" si="275"/>
        <v>0</v>
      </c>
      <c r="R374" s="292">
        <f t="shared" si="275"/>
        <v>12411.024600000001</v>
      </c>
      <c r="S374" s="292">
        <f t="shared" ref="S374:AB374" si="276">SUM(S375:S378)</f>
        <v>12411.024600000001</v>
      </c>
      <c r="T374" s="292">
        <f t="shared" si="276"/>
        <v>0</v>
      </c>
      <c r="U374" s="292">
        <f t="shared" si="276"/>
        <v>0</v>
      </c>
      <c r="V374" s="292">
        <f t="shared" si="276"/>
        <v>0</v>
      </c>
      <c r="W374" s="292">
        <f t="shared" si="276"/>
        <v>12411.024600000001</v>
      </c>
      <c r="X374" s="292">
        <f t="shared" si="276"/>
        <v>12411.024600000001</v>
      </c>
      <c r="Y374" s="292">
        <f t="shared" si="276"/>
        <v>0</v>
      </c>
      <c r="Z374" s="292">
        <f t="shared" si="276"/>
        <v>0</v>
      </c>
      <c r="AA374" s="292">
        <f t="shared" si="276"/>
        <v>0</v>
      </c>
      <c r="AB374" s="292">
        <f t="shared" si="276"/>
        <v>12411.024600000001</v>
      </c>
      <c r="AC374" s="292">
        <f t="shared" ref="AC374:AG374" si="277">SUM(AC375:AC378)</f>
        <v>12411.024600000001</v>
      </c>
      <c r="AD374" s="292">
        <f t="shared" si="277"/>
        <v>0</v>
      </c>
      <c r="AE374" s="292">
        <f t="shared" si="277"/>
        <v>0</v>
      </c>
      <c r="AF374" s="292">
        <f t="shared" si="277"/>
        <v>0</v>
      </c>
      <c r="AG374" s="292">
        <f t="shared" si="277"/>
        <v>12411.024600000001</v>
      </c>
      <c r="AH374" s="292">
        <f t="shared" si="275"/>
        <v>0</v>
      </c>
    </row>
    <row r="375" spans="1:34" ht="86.25" customHeight="1">
      <c r="A375" s="563">
        <v>1</v>
      </c>
      <c r="B375" s="564" t="s">
        <v>522</v>
      </c>
      <c r="C375" s="149" t="s">
        <v>61</v>
      </c>
      <c r="D375" s="568" t="s">
        <v>102</v>
      </c>
      <c r="E375" s="298" t="s">
        <v>42</v>
      </c>
      <c r="F375" s="566">
        <v>8015985</v>
      </c>
      <c r="G375" s="567">
        <v>72</v>
      </c>
      <c r="H375" s="568" t="s">
        <v>539</v>
      </c>
      <c r="I375" s="255" t="s">
        <v>80</v>
      </c>
      <c r="J375" s="174" t="s">
        <v>531</v>
      </c>
      <c r="K375" s="567">
        <v>8474</v>
      </c>
      <c r="L375" s="567"/>
      <c r="M375" s="146"/>
      <c r="N375" s="146">
        <f>SUM(O375:R375)</f>
        <v>1479.1086</v>
      </c>
      <c r="O375" s="146"/>
      <c r="P375" s="139"/>
      <c r="Q375" s="151"/>
      <c r="R375" s="441">
        <v>1479.1086</v>
      </c>
      <c r="S375" s="146">
        <f>SUM(T375:W375)</f>
        <v>1479.1086</v>
      </c>
      <c r="T375" s="146"/>
      <c r="U375" s="139"/>
      <c r="V375" s="151"/>
      <c r="W375" s="441">
        <v>1479.1086</v>
      </c>
      <c r="X375" s="146">
        <f>SUM(Y375:AB375)</f>
        <v>1479.1086</v>
      </c>
      <c r="Y375" s="146"/>
      <c r="Z375" s="139"/>
      <c r="AA375" s="151"/>
      <c r="AB375" s="441">
        <v>1479.1086</v>
      </c>
      <c r="AC375" s="146">
        <f>SUM(AD375:AG375)</f>
        <v>1479.1086</v>
      </c>
      <c r="AD375" s="146"/>
      <c r="AE375" s="139"/>
      <c r="AF375" s="151"/>
      <c r="AG375" s="441">
        <v>1479.1086</v>
      </c>
      <c r="AH375" s="3"/>
    </row>
    <row r="376" spans="1:34" ht="78.75">
      <c r="A376" s="563">
        <v>2</v>
      </c>
      <c r="B376" s="564" t="s">
        <v>523</v>
      </c>
      <c r="C376" s="149" t="s">
        <v>61</v>
      </c>
      <c r="D376" s="568" t="s">
        <v>102</v>
      </c>
      <c r="E376" s="298" t="s">
        <v>42</v>
      </c>
      <c r="F376" s="566">
        <v>8015999</v>
      </c>
      <c r="G376" s="567">
        <v>72</v>
      </c>
      <c r="H376" s="568" t="s">
        <v>540</v>
      </c>
      <c r="I376" s="255" t="s">
        <v>80</v>
      </c>
      <c r="J376" s="174" t="s">
        <v>532</v>
      </c>
      <c r="K376" s="567">
        <v>7998</v>
      </c>
      <c r="L376" s="567"/>
      <c r="M376" s="146"/>
      <c r="N376" s="146">
        <f t="shared" ref="N376:N377" si="278">SUM(O376:R376)</f>
        <v>2931.9160000000002</v>
      </c>
      <c r="O376" s="146"/>
      <c r="P376" s="139"/>
      <c r="Q376" s="151"/>
      <c r="R376" s="441">
        <v>2931.9160000000002</v>
      </c>
      <c r="S376" s="146">
        <f t="shared" ref="S376:S377" si="279">SUM(T376:W376)</f>
        <v>2931.9160000000002</v>
      </c>
      <c r="T376" s="146"/>
      <c r="U376" s="139"/>
      <c r="V376" s="151"/>
      <c r="W376" s="441">
        <v>2931.9160000000002</v>
      </c>
      <c r="X376" s="146">
        <f t="shared" ref="X376:X377" si="280">SUM(Y376:AB376)</f>
        <v>2931.9160000000002</v>
      </c>
      <c r="Y376" s="146"/>
      <c r="Z376" s="139"/>
      <c r="AA376" s="151"/>
      <c r="AB376" s="441">
        <v>2931.9160000000002</v>
      </c>
      <c r="AC376" s="146">
        <f t="shared" ref="AC376:AC377" si="281">SUM(AD376:AG376)</f>
        <v>2931.9160000000002</v>
      </c>
      <c r="AD376" s="146"/>
      <c r="AE376" s="139"/>
      <c r="AF376" s="151"/>
      <c r="AG376" s="441">
        <v>2931.9160000000002</v>
      </c>
      <c r="AH376" s="3"/>
    </row>
    <row r="377" spans="1:34" ht="94.5">
      <c r="A377" s="570">
        <v>3</v>
      </c>
      <c r="B377" s="175" t="s">
        <v>524</v>
      </c>
      <c r="C377" s="109" t="s">
        <v>61</v>
      </c>
      <c r="D377" s="172" t="s">
        <v>102</v>
      </c>
      <c r="E377" s="111" t="s">
        <v>42</v>
      </c>
      <c r="F377" s="291">
        <v>8017209</v>
      </c>
      <c r="G377" s="572">
        <v>71</v>
      </c>
      <c r="H377" s="172" t="s">
        <v>541</v>
      </c>
      <c r="I377" s="173" t="s">
        <v>80</v>
      </c>
      <c r="J377" s="176" t="s">
        <v>533</v>
      </c>
      <c r="K377" s="571">
        <v>7260</v>
      </c>
      <c r="L377" s="571"/>
      <c r="M377" s="46"/>
      <c r="N377" s="46">
        <f t="shared" si="278"/>
        <v>3000</v>
      </c>
      <c r="O377" s="46"/>
      <c r="P377" s="571"/>
      <c r="Q377" s="51"/>
      <c r="R377" s="571">
        <v>3000</v>
      </c>
      <c r="S377" s="46">
        <f t="shared" si="279"/>
        <v>3000</v>
      </c>
      <c r="T377" s="46"/>
      <c r="U377" s="571"/>
      <c r="V377" s="51"/>
      <c r="W377" s="571">
        <v>3000</v>
      </c>
      <c r="X377" s="46">
        <f t="shared" si="280"/>
        <v>3000</v>
      </c>
      <c r="Y377" s="46"/>
      <c r="Z377" s="571"/>
      <c r="AA377" s="51"/>
      <c r="AB377" s="571">
        <v>3000</v>
      </c>
      <c r="AC377" s="46">
        <f t="shared" si="281"/>
        <v>3000</v>
      </c>
      <c r="AD377" s="46"/>
      <c r="AE377" s="571"/>
      <c r="AF377" s="51"/>
      <c r="AG377" s="571">
        <v>3000</v>
      </c>
      <c r="AH377" s="3"/>
    </row>
    <row r="378" spans="1:34" ht="47.25">
      <c r="A378" s="570">
        <v>4</v>
      </c>
      <c r="B378" s="175" t="s">
        <v>525</v>
      </c>
      <c r="C378" s="109" t="s">
        <v>61</v>
      </c>
      <c r="D378" s="172" t="s">
        <v>102</v>
      </c>
      <c r="E378" s="111" t="s">
        <v>42</v>
      </c>
      <c r="F378" s="291">
        <v>8015991</v>
      </c>
      <c r="G378" s="572">
        <v>73</v>
      </c>
      <c r="H378" s="172" t="s">
        <v>542</v>
      </c>
      <c r="I378" s="173" t="s">
        <v>80</v>
      </c>
      <c r="J378" s="176" t="s">
        <v>534</v>
      </c>
      <c r="K378" s="571">
        <v>14872</v>
      </c>
      <c r="L378" s="571"/>
      <c r="M378" s="46"/>
      <c r="N378" s="46">
        <f>SUM(O378:R378)</f>
        <v>5000</v>
      </c>
      <c r="O378" s="46"/>
      <c r="P378" s="571"/>
      <c r="Q378" s="51"/>
      <c r="R378" s="571">
        <v>5000</v>
      </c>
      <c r="S378" s="46">
        <f>SUM(T378:W378)</f>
        <v>5000</v>
      </c>
      <c r="T378" s="46"/>
      <c r="U378" s="571"/>
      <c r="V378" s="51"/>
      <c r="W378" s="571">
        <v>5000</v>
      </c>
      <c r="X378" s="46">
        <f>SUM(Y378:AB378)</f>
        <v>5000</v>
      </c>
      <c r="Y378" s="46"/>
      <c r="Z378" s="571"/>
      <c r="AA378" s="51"/>
      <c r="AB378" s="571">
        <v>5000</v>
      </c>
      <c r="AC378" s="46">
        <f>SUM(AD378:AG378)</f>
        <v>5000</v>
      </c>
      <c r="AD378" s="46"/>
      <c r="AE378" s="571"/>
      <c r="AF378" s="51"/>
      <c r="AG378" s="571">
        <v>5000</v>
      </c>
      <c r="AH378" s="3"/>
    </row>
    <row r="379" spans="1:34" s="139" customFormat="1">
      <c r="A379" s="203"/>
      <c r="B379" s="204" t="s">
        <v>166</v>
      </c>
      <c r="C379" s="204"/>
      <c r="D379" s="204"/>
      <c r="E379" s="204"/>
      <c r="F379" s="203"/>
      <c r="G379" s="203"/>
      <c r="H379" s="204"/>
      <c r="I379" s="204"/>
      <c r="J379" s="204"/>
      <c r="K379" s="294">
        <f>K380+K383</f>
        <v>47829.96</v>
      </c>
      <c r="L379" s="294">
        <f t="shared" ref="L379:R379" si="282">L380+L383</f>
        <v>2183.9360350000002</v>
      </c>
      <c r="M379" s="294">
        <f t="shared" si="282"/>
        <v>0</v>
      </c>
      <c r="N379" s="573">
        <f t="shared" si="282"/>
        <v>11382.981</v>
      </c>
      <c r="O379" s="573">
        <f t="shared" si="282"/>
        <v>0</v>
      </c>
      <c r="P379" s="573">
        <f t="shared" si="282"/>
        <v>0</v>
      </c>
      <c r="Q379" s="573">
        <f t="shared" si="282"/>
        <v>0</v>
      </c>
      <c r="R379" s="573">
        <f t="shared" si="282"/>
        <v>11382.981</v>
      </c>
      <c r="S379" s="573">
        <f t="shared" ref="S379:AB379" si="283">S380+S383</f>
        <v>11382.981</v>
      </c>
      <c r="T379" s="573">
        <f t="shared" si="283"/>
        <v>0</v>
      </c>
      <c r="U379" s="573">
        <f t="shared" si="283"/>
        <v>0</v>
      </c>
      <c r="V379" s="573">
        <f t="shared" si="283"/>
        <v>0</v>
      </c>
      <c r="W379" s="573">
        <f t="shared" si="283"/>
        <v>11382.981</v>
      </c>
      <c r="X379" s="573">
        <f t="shared" si="283"/>
        <v>11382.981</v>
      </c>
      <c r="Y379" s="573">
        <f t="shared" si="283"/>
        <v>0</v>
      </c>
      <c r="Z379" s="573">
        <f t="shared" si="283"/>
        <v>0</v>
      </c>
      <c r="AA379" s="573">
        <f t="shared" si="283"/>
        <v>0</v>
      </c>
      <c r="AB379" s="573">
        <f t="shared" si="283"/>
        <v>11382.981</v>
      </c>
      <c r="AC379" s="573">
        <f t="shared" ref="AC379:AG379" si="284">AC380+AC383</f>
        <v>11382.981</v>
      </c>
      <c r="AD379" s="573">
        <f t="shared" si="284"/>
        <v>0</v>
      </c>
      <c r="AE379" s="573">
        <f t="shared" si="284"/>
        <v>0</v>
      </c>
      <c r="AF379" s="573">
        <f t="shared" si="284"/>
        <v>0</v>
      </c>
      <c r="AG379" s="573">
        <f t="shared" si="284"/>
        <v>11382.981</v>
      </c>
      <c r="AH379" s="138"/>
    </row>
    <row r="380" spans="1:34" s="49" customFormat="1">
      <c r="A380" s="203"/>
      <c r="B380" s="204" t="s">
        <v>91</v>
      </c>
      <c r="C380" s="204"/>
      <c r="D380" s="204"/>
      <c r="E380" s="204"/>
      <c r="F380" s="203"/>
      <c r="G380" s="203"/>
      <c r="H380" s="204"/>
      <c r="I380" s="204"/>
      <c r="J380" s="204"/>
      <c r="K380" s="294">
        <f>SUM(K381:K382)</f>
        <v>18002.96</v>
      </c>
      <c r="L380" s="294">
        <f t="shared" ref="L380:R380" si="285">SUM(L381:L382)</f>
        <v>1412.9360350000002</v>
      </c>
      <c r="M380" s="294">
        <f t="shared" si="285"/>
        <v>0</v>
      </c>
      <c r="N380" s="573">
        <f t="shared" si="285"/>
        <v>6037.9809999999998</v>
      </c>
      <c r="O380" s="573">
        <f t="shared" si="285"/>
        <v>0</v>
      </c>
      <c r="P380" s="573">
        <f t="shared" si="285"/>
        <v>0</v>
      </c>
      <c r="Q380" s="573">
        <f t="shared" si="285"/>
        <v>0</v>
      </c>
      <c r="R380" s="573">
        <f t="shared" si="285"/>
        <v>6037.9809999999998</v>
      </c>
      <c r="S380" s="573">
        <f t="shared" ref="S380:AB380" si="286">SUM(S381:S382)</f>
        <v>6037.9809999999998</v>
      </c>
      <c r="T380" s="573">
        <f t="shared" si="286"/>
        <v>0</v>
      </c>
      <c r="U380" s="573">
        <f t="shared" si="286"/>
        <v>0</v>
      </c>
      <c r="V380" s="573">
        <f t="shared" si="286"/>
        <v>0</v>
      </c>
      <c r="W380" s="573">
        <f t="shared" si="286"/>
        <v>6037.9809999999998</v>
      </c>
      <c r="X380" s="573">
        <f t="shared" si="286"/>
        <v>6037.9809999999998</v>
      </c>
      <c r="Y380" s="573">
        <f t="shared" si="286"/>
        <v>0</v>
      </c>
      <c r="Z380" s="573">
        <f t="shared" si="286"/>
        <v>0</v>
      </c>
      <c r="AA380" s="573">
        <f t="shared" si="286"/>
        <v>0</v>
      </c>
      <c r="AB380" s="573">
        <f t="shared" si="286"/>
        <v>6037.9809999999998</v>
      </c>
      <c r="AC380" s="573">
        <f t="shared" ref="AC380:AG380" si="287">SUM(AC381:AC382)</f>
        <v>6037.9809999999998</v>
      </c>
      <c r="AD380" s="573">
        <f t="shared" si="287"/>
        <v>0</v>
      </c>
      <c r="AE380" s="573">
        <f t="shared" si="287"/>
        <v>0</v>
      </c>
      <c r="AF380" s="573">
        <f t="shared" si="287"/>
        <v>0</v>
      </c>
      <c r="AG380" s="573">
        <f t="shared" si="287"/>
        <v>6037.9809999999998</v>
      </c>
      <c r="AH380" s="50"/>
    </row>
    <row r="381" spans="1:34" ht="63">
      <c r="A381" s="570">
        <v>1</v>
      </c>
      <c r="B381" s="175" t="s">
        <v>172</v>
      </c>
      <c r="C381" s="109" t="s">
        <v>61</v>
      </c>
      <c r="D381" s="172" t="s">
        <v>213</v>
      </c>
      <c r="E381" s="111" t="s">
        <v>42</v>
      </c>
      <c r="F381" s="173">
        <v>8012051</v>
      </c>
      <c r="G381" s="571">
        <v>292</v>
      </c>
      <c r="H381" s="112" t="s">
        <v>221</v>
      </c>
      <c r="I381" s="173" t="s">
        <v>80</v>
      </c>
      <c r="J381" s="172" t="s">
        <v>244</v>
      </c>
      <c r="K381" s="571">
        <v>11198.009</v>
      </c>
      <c r="L381" s="571">
        <v>901.93603500000006</v>
      </c>
      <c r="M381" s="46"/>
      <c r="N381" s="46">
        <f>SUM(O381:R381)</f>
        <v>5000</v>
      </c>
      <c r="O381" s="46"/>
      <c r="P381" s="574"/>
      <c r="Q381" s="51"/>
      <c r="R381" s="574">
        <v>5000</v>
      </c>
      <c r="S381" s="46">
        <f>SUM(T381:W381)</f>
        <v>5000</v>
      </c>
      <c r="T381" s="46"/>
      <c r="U381" s="574"/>
      <c r="V381" s="51"/>
      <c r="W381" s="574">
        <v>5000</v>
      </c>
      <c r="X381" s="46">
        <f>SUM(Y381:AB381)</f>
        <v>5000</v>
      </c>
      <c r="Y381" s="46"/>
      <c r="Z381" s="574"/>
      <c r="AA381" s="51"/>
      <c r="AB381" s="574">
        <v>5000</v>
      </c>
      <c r="AC381" s="46">
        <f>SUM(AD381:AG381)</f>
        <v>5000</v>
      </c>
      <c r="AD381" s="46"/>
      <c r="AE381" s="574"/>
      <c r="AF381" s="51"/>
      <c r="AG381" s="574">
        <v>5000</v>
      </c>
      <c r="AH381" s="3"/>
    </row>
    <row r="382" spans="1:34" ht="47.25">
      <c r="A382" s="570">
        <v>2</v>
      </c>
      <c r="B382" s="175" t="s">
        <v>176</v>
      </c>
      <c r="C382" s="109" t="s">
        <v>61</v>
      </c>
      <c r="D382" s="172" t="s">
        <v>213</v>
      </c>
      <c r="E382" s="111" t="s">
        <v>42</v>
      </c>
      <c r="F382" s="173">
        <v>8012031</v>
      </c>
      <c r="G382" s="571">
        <v>292</v>
      </c>
      <c r="H382" s="112" t="s">
        <v>223</v>
      </c>
      <c r="I382" s="173" t="s">
        <v>80</v>
      </c>
      <c r="J382" s="172" t="s">
        <v>246</v>
      </c>
      <c r="K382" s="571">
        <v>6804.951</v>
      </c>
      <c r="L382" s="571">
        <v>511</v>
      </c>
      <c r="M382" s="46"/>
      <c r="N382" s="46">
        <f>SUM(O382:R382)</f>
        <v>1037.981</v>
      </c>
      <c r="O382" s="46"/>
      <c r="P382" s="574"/>
      <c r="Q382" s="51"/>
      <c r="R382" s="574">
        <f>1000+37.981</f>
        <v>1037.981</v>
      </c>
      <c r="S382" s="46">
        <f>SUM(T382:W382)</f>
        <v>1037.981</v>
      </c>
      <c r="T382" s="46"/>
      <c r="U382" s="574"/>
      <c r="V382" s="51"/>
      <c r="W382" s="574">
        <f>1000+37.981</f>
        <v>1037.981</v>
      </c>
      <c r="X382" s="46">
        <f>SUM(Y382:AB382)</f>
        <v>1037.981</v>
      </c>
      <c r="Y382" s="46"/>
      <c r="Z382" s="574"/>
      <c r="AA382" s="51"/>
      <c r="AB382" s="574">
        <f>1000+37.981</f>
        <v>1037.981</v>
      </c>
      <c r="AC382" s="46">
        <f>SUM(AD382:AG382)</f>
        <v>1037.981</v>
      </c>
      <c r="AD382" s="46"/>
      <c r="AE382" s="574"/>
      <c r="AF382" s="51"/>
      <c r="AG382" s="574">
        <f>1000+37.981</f>
        <v>1037.981</v>
      </c>
      <c r="AH382" s="3"/>
    </row>
    <row r="383" spans="1:34" s="49" customFormat="1">
      <c r="A383" s="205"/>
      <c r="B383" s="206" t="s">
        <v>526</v>
      </c>
      <c r="C383" s="109"/>
      <c r="D383" s="206"/>
      <c r="E383" s="111"/>
      <c r="F383" s="214"/>
      <c r="G383" s="215"/>
      <c r="H383" s="214"/>
      <c r="I383" s="115"/>
      <c r="J383" s="214"/>
      <c r="K383" s="295">
        <f>SUM(K384:K386)</f>
        <v>29827</v>
      </c>
      <c r="L383" s="295">
        <f t="shared" ref="L383:AH383" si="288">SUM(L384:L386)</f>
        <v>771</v>
      </c>
      <c r="M383" s="295">
        <f t="shared" si="288"/>
        <v>0</v>
      </c>
      <c r="N383" s="295">
        <f t="shared" si="288"/>
        <v>5345</v>
      </c>
      <c r="O383" s="295">
        <f t="shared" si="288"/>
        <v>0</v>
      </c>
      <c r="P383" s="295">
        <f t="shared" si="288"/>
        <v>0</v>
      </c>
      <c r="Q383" s="295">
        <f t="shared" si="288"/>
        <v>0</v>
      </c>
      <c r="R383" s="295">
        <f t="shared" si="288"/>
        <v>5345</v>
      </c>
      <c r="S383" s="295">
        <f t="shared" ref="S383:AB383" si="289">SUM(S384:S386)</f>
        <v>5345</v>
      </c>
      <c r="T383" s="295">
        <f t="shared" si="289"/>
        <v>0</v>
      </c>
      <c r="U383" s="295">
        <f t="shared" si="289"/>
        <v>0</v>
      </c>
      <c r="V383" s="295">
        <f t="shared" si="289"/>
        <v>0</v>
      </c>
      <c r="W383" s="295">
        <f t="shared" si="289"/>
        <v>5345</v>
      </c>
      <c r="X383" s="295">
        <f t="shared" si="289"/>
        <v>5345</v>
      </c>
      <c r="Y383" s="295">
        <f t="shared" si="289"/>
        <v>0</v>
      </c>
      <c r="Z383" s="295">
        <f t="shared" si="289"/>
        <v>0</v>
      </c>
      <c r="AA383" s="295">
        <f t="shared" si="289"/>
        <v>0</v>
      </c>
      <c r="AB383" s="295">
        <f t="shared" si="289"/>
        <v>5345</v>
      </c>
      <c r="AC383" s="295">
        <f t="shared" ref="AC383:AG383" si="290">SUM(AC384:AC386)</f>
        <v>5345</v>
      </c>
      <c r="AD383" s="295">
        <f t="shared" si="290"/>
        <v>0</v>
      </c>
      <c r="AE383" s="295">
        <f t="shared" si="290"/>
        <v>0</v>
      </c>
      <c r="AF383" s="295">
        <f t="shared" si="290"/>
        <v>0</v>
      </c>
      <c r="AG383" s="295">
        <f t="shared" si="290"/>
        <v>5345</v>
      </c>
      <c r="AH383" s="295">
        <f t="shared" si="288"/>
        <v>0</v>
      </c>
    </row>
    <row r="384" spans="1:34" ht="66">
      <c r="A384" s="500">
        <v>1</v>
      </c>
      <c r="B384" s="494" t="s">
        <v>203</v>
      </c>
      <c r="C384" s="495" t="s">
        <v>61</v>
      </c>
      <c r="D384" s="501" t="s">
        <v>213</v>
      </c>
      <c r="E384" s="501" t="s">
        <v>42</v>
      </c>
      <c r="F384" s="192">
        <v>8012052</v>
      </c>
      <c r="G384" s="114">
        <v>72</v>
      </c>
      <c r="H384" s="112" t="s">
        <v>238</v>
      </c>
      <c r="I384" s="496" t="s">
        <v>80</v>
      </c>
      <c r="J384" s="497" t="s">
        <v>261</v>
      </c>
      <c r="K384" s="498">
        <v>7340</v>
      </c>
      <c r="L384" s="498">
        <v>310</v>
      </c>
      <c r="M384" s="46"/>
      <c r="N384" s="46">
        <f>SUM(O384:R384)</f>
        <v>2000</v>
      </c>
      <c r="O384" s="46"/>
      <c r="P384" s="146"/>
      <c r="Q384" s="575"/>
      <c r="R384" s="100">
        <v>2000</v>
      </c>
      <c r="S384" s="46">
        <f>SUM(T384:W384)</f>
        <v>2000</v>
      </c>
      <c r="T384" s="46"/>
      <c r="U384" s="146"/>
      <c r="V384" s="575"/>
      <c r="W384" s="100">
        <v>2000</v>
      </c>
      <c r="X384" s="46">
        <f>SUM(Y384:AB384)</f>
        <v>2000</v>
      </c>
      <c r="Y384" s="46"/>
      <c r="Z384" s="146"/>
      <c r="AA384" s="575"/>
      <c r="AB384" s="100">
        <v>2000</v>
      </c>
      <c r="AC384" s="46">
        <f>SUM(AD384:AG384)</f>
        <v>2000</v>
      </c>
      <c r="AD384" s="46"/>
      <c r="AE384" s="146"/>
      <c r="AF384" s="575"/>
      <c r="AG384" s="100">
        <v>2000</v>
      </c>
      <c r="AH384" s="3"/>
    </row>
    <row r="385" spans="1:34" ht="66">
      <c r="A385" s="500">
        <v>2</v>
      </c>
      <c r="B385" s="494" t="s">
        <v>269</v>
      </c>
      <c r="C385" s="495" t="s">
        <v>61</v>
      </c>
      <c r="D385" s="501" t="s">
        <v>213</v>
      </c>
      <c r="E385" s="501" t="s">
        <v>42</v>
      </c>
      <c r="F385" s="192">
        <v>807599</v>
      </c>
      <c r="G385" s="114">
        <v>71</v>
      </c>
      <c r="H385" s="112" t="s">
        <v>270</v>
      </c>
      <c r="I385" s="496" t="s">
        <v>80</v>
      </c>
      <c r="J385" s="497" t="s">
        <v>271</v>
      </c>
      <c r="K385" s="498">
        <v>7500</v>
      </c>
      <c r="L385" s="498">
        <v>96</v>
      </c>
      <c r="M385" s="46"/>
      <c r="N385" s="46">
        <f>SUM(O385:R385)</f>
        <v>1345</v>
      </c>
      <c r="O385" s="46"/>
      <c r="P385" s="146"/>
      <c r="Q385" s="575"/>
      <c r="R385" s="100">
        <v>1345</v>
      </c>
      <c r="S385" s="46">
        <f>SUM(T385:W385)</f>
        <v>1345</v>
      </c>
      <c r="T385" s="46"/>
      <c r="U385" s="146"/>
      <c r="V385" s="575"/>
      <c r="W385" s="100">
        <v>1345</v>
      </c>
      <c r="X385" s="46">
        <f>SUM(Y385:AB385)</f>
        <v>1345</v>
      </c>
      <c r="Y385" s="46"/>
      <c r="Z385" s="146"/>
      <c r="AA385" s="575"/>
      <c r="AB385" s="100">
        <v>1345</v>
      </c>
      <c r="AC385" s="46">
        <f>SUM(AD385:AG385)</f>
        <v>1345</v>
      </c>
      <c r="AD385" s="46"/>
      <c r="AE385" s="146"/>
      <c r="AF385" s="575"/>
      <c r="AG385" s="100">
        <v>1345</v>
      </c>
      <c r="AH385" s="3"/>
    </row>
    <row r="386" spans="1:34" ht="66">
      <c r="A386" s="502">
        <v>3</v>
      </c>
      <c r="B386" s="494" t="s">
        <v>622</v>
      </c>
      <c r="C386" s="109" t="s">
        <v>61</v>
      </c>
      <c r="D386" s="111" t="s">
        <v>213</v>
      </c>
      <c r="E386" s="111" t="s">
        <v>42</v>
      </c>
      <c r="F386" s="192">
        <v>8078552</v>
      </c>
      <c r="G386" s="114">
        <v>72</v>
      </c>
      <c r="H386" s="112" t="s">
        <v>270</v>
      </c>
      <c r="I386" s="496" t="s">
        <v>80</v>
      </c>
      <c r="J386" s="497" t="s">
        <v>623</v>
      </c>
      <c r="K386" s="498">
        <v>14987</v>
      </c>
      <c r="L386" s="498">
        <v>365</v>
      </c>
      <c r="M386" s="576"/>
      <c r="N386" s="576">
        <f t="shared" ref="N386" si="291">SUM(O386:R386)</f>
        <v>2000</v>
      </c>
      <c r="O386" s="576"/>
      <c r="P386" s="577"/>
      <c r="Q386" s="504"/>
      <c r="R386" s="578">
        <v>2000</v>
      </c>
      <c r="S386" s="576">
        <f t="shared" ref="S386" si="292">SUM(T386:W386)</f>
        <v>2000</v>
      </c>
      <c r="T386" s="576"/>
      <c r="U386" s="577"/>
      <c r="V386" s="504"/>
      <c r="W386" s="578">
        <v>2000</v>
      </c>
      <c r="X386" s="576">
        <f t="shared" ref="X386" si="293">SUM(Y386:AB386)</f>
        <v>2000</v>
      </c>
      <c r="Y386" s="576"/>
      <c r="Z386" s="577"/>
      <c r="AA386" s="504"/>
      <c r="AB386" s="578">
        <v>2000</v>
      </c>
      <c r="AC386" s="576">
        <f t="shared" ref="AC386" si="294">SUM(AD386:AG386)</f>
        <v>2000</v>
      </c>
      <c r="AD386" s="576"/>
      <c r="AE386" s="577"/>
      <c r="AF386" s="504"/>
      <c r="AG386" s="578">
        <v>2000</v>
      </c>
      <c r="AH386" s="3"/>
    </row>
    <row r="388" spans="1:34">
      <c r="C388" s="366"/>
    </row>
    <row r="389" spans="1:34">
      <c r="C389" s="5"/>
    </row>
  </sheetData>
  <mergeCells count="44">
    <mergeCell ref="A3:AH3"/>
    <mergeCell ref="AH6:AH8"/>
    <mergeCell ref="M6:M8"/>
    <mergeCell ref="S6:W6"/>
    <mergeCell ref="S7:S8"/>
    <mergeCell ref="T7:T8"/>
    <mergeCell ref="U7:U8"/>
    <mergeCell ref="V7:V8"/>
    <mergeCell ref="W7:W8"/>
    <mergeCell ref="A4:AH4"/>
    <mergeCell ref="N7:N8"/>
    <mergeCell ref="O7:O8"/>
    <mergeCell ref="P7:P8"/>
    <mergeCell ref="A6:A8"/>
    <mergeCell ref="B6:B8"/>
    <mergeCell ref="X7:X8"/>
    <mergeCell ref="A1:M1"/>
    <mergeCell ref="Q7:Q8"/>
    <mergeCell ref="R7:R8"/>
    <mergeCell ref="F6:F8"/>
    <mergeCell ref="K6:L6"/>
    <mergeCell ref="C6:C8"/>
    <mergeCell ref="G6:G8"/>
    <mergeCell ref="D6:D8"/>
    <mergeCell ref="L7:L8"/>
    <mergeCell ref="H6:H8"/>
    <mergeCell ref="I6:I8"/>
    <mergeCell ref="J6:J8"/>
    <mergeCell ref="N6:R6"/>
    <mergeCell ref="K7:K8"/>
    <mergeCell ref="A2:AH2"/>
    <mergeCell ref="AF1:AG1"/>
    <mergeCell ref="Y7:Y8"/>
    <mergeCell ref="Z7:Z8"/>
    <mergeCell ref="AA7:AA8"/>
    <mergeCell ref="X6:AB6"/>
    <mergeCell ref="E6:E8"/>
    <mergeCell ref="AB7:AB8"/>
    <mergeCell ref="AC6:AG6"/>
    <mergeCell ref="AC7:AC8"/>
    <mergeCell ref="AD7:AD8"/>
    <mergeCell ref="AE7:AE8"/>
    <mergeCell ref="AF7:AF8"/>
    <mergeCell ref="AG7:AG8"/>
  </mergeCells>
  <printOptions horizontalCentered="1"/>
  <pageMargins left="7.8740157480315001E-2" right="7.8740157480315001E-2" top="0.35" bottom="0.118110236220472" header="0.196850393700787" footer="0.15748031496063"/>
  <pageSetup paperSize="9" scale="34" fitToHeight="0" orientation="landscape" verticalDpi="4294967295" r:id="rId1"/>
  <headerFooter>
    <oddHeader>Page &amp;P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7"/>
  <sheetViews>
    <sheetView tabSelected="1" workbookViewId="0">
      <selection activeCell="V50" sqref="V50"/>
    </sheetView>
  </sheetViews>
  <sheetFormatPr defaultRowHeight="15"/>
  <cols>
    <col min="1" max="1" width="5.7109375" customWidth="1"/>
    <col min="2" max="2" width="31.5703125" customWidth="1"/>
    <col min="3" max="11" width="0" hidden="1" customWidth="1"/>
    <col min="12" max="12" width="10.140625" customWidth="1"/>
    <col min="13" max="14" width="0" hidden="1" customWidth="1"/>
    <col min="18" max="18" width="9.5703125" bestFit="1" customWidth="1"/>
    <col min="19" max="19" width="9.42578125" customWidth="1"/>
    <col min="20" max="20" width="8.42578125" customWidth="1"/>
    <col min="23" max="23" width="8.85546875" customWidth="1"/>
    <col min="24" max="24" width="9.5703125" customWidth="1"/>
    <col min="25" max="25" width="8.42578125" customWidth="1"/>
    <col min="28" max="28" width="8.85546875" customWidth="1"/>
    <col min="29" max="29" width="9.5703125" customWidth="1"/>
    <col min="30" max="30" width="8.42578125" customWidth="1"/>
    <col min="33" max="33" width="8.85546875" customWidth="1"/>
    <col min="34" max="34" width="9.5703125" customWidth="1"/>
  </cols>
  <sheetData>
    <row r="1" spans="1:35" s="4" customFormat="1" ht="15.75" customHeight="1">
      <c r="A1" s="667"/>
      <c r="B1" s="667"/>
      <c r="C1" s="667"/>
      <c r="D1" s="667"/>
      <c r="E1" s="667"/>
      <c r="F1" s="667"/>
      <c r="G1" s="667"/>
      <c r="H1" s="667"/>
      <c r="I1" s="667"/>
      <c r="J1" s="667"/>
      <c r="K1" s="667"/>
      <c r="L1" s="667"/>
      <c r="M1" s="667"/>
      <c r="N1" s="667"/>
      <c r="O1" s="166"/>
      <c r="P1" s="166"/>
      <c r="Q1" s="166"/>
      <c r="R1" s="166"/>
      <c r="S1" s="166"/>
      <c r="T1" s="166"/>
      <c r="U1" s="166"/>
      <c r="V1" s="166"/>
      <c r="W1" s="118"/>
      <c r="X1" s="44"/>
      <c r="Y1" s="166"/>
      <c r="Z1" s="166"/>
      <c r="AA1" s="166"/>
      <c r="AB1" s="118"/>
      <c r="AC1" s="44"/>
      <c r="AD1" s="166"/>
      <c r="AE1" s="166"/>
      <c r="AF1" s="667" t="s">
        <v>620</v>
      </c>
      <c r="AG1" s="667"/>
      <c r="AH1" s="44"/>
    </row>
    <row r="2" spans="1:35" s="4" customFormat="1" ht="15.75" customHeight="1">
      <c r="A2" s="672" t="str">
        <f>'NSDP thang'!A2:AH2</f>
        <v>BÁO CÁO TÌNH HÌNH THỰC HIỆN KẾ HOẠCH VỐN ĐẦU TƯ CÔNG NĂM 2024</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3"/>
      <c r="AG2" s="673"/>
    </row>
    <row r="3" spans="1:35" s="4" customFormat="1" ht="15.75">
      <c r="A3" s="675" t="str">
        <f>'NSDP thang'!A3:AH3</f>
        <v>(Kèm theo Báo cáo số:      /BC-UBND  ngày         tháng 12  năm 2024 của Ủy ban nhân dân huyện Châu Thành)</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c r="AF3" s="675"/>
      <c r="AG3" s="675"/>
    </row>
    <row r="4" spans="1:35" s="4" customFormat="1" ht="15.75">
      <c r="A4" s="676" t="str">
        <f>'NSDP thang'!A4:AH4</f>
        <v>(Từ ngày 01/01/2024 đến ngày 30/11/2024)</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row>
    <row r="5" spans="1:35" s="4" customFormat="1" ht="18" customHeight="1">
      <c r="A5" s="5"/>
      <c r="B5" s="6"/>
      <c r="C5" s="5"/>
      <c r="D5" s="5"/>
      <c r="E5" s="5"/>
      <c r="F5" s="5"/>
      <c r="G5" s="5"/>
      <c r="H5" s="25"/>
      <c r="I5" s="167"/>
      <c r="J5" s="167"/>
      <c r="K5" s="5"/>
      <c r="L5" s="5"/>
      <c r="M5" s="5"/>
      <c r="N5" s="5"/>
      <c r="O5" s="7"/>
      <c r="P5" s="7"/>
      <c r="Q5" s="7"/>
      <c r="R5" s="7"/>
      <c r="S5" s="7"/>
      <c r="T5" s="7"/>
      <c r="U5" s="7"/>
      <c r="V5" s="7"/>
      <c r="W5" s="7"/>
      <c r="X5" s="7"/>
      <c r="Y5" s="7"/>
      <c r="Z5" s="628">
        <f>T18/O18</f>
        <v>0.86638142513264726</v>
      </c>
      <c r="AA5" s="628"/>
      <c r="AB5" s="7"/>
      <c r="AC5" s="7"/>
      <c r="AD5" s="7"/>
      <c r="AE5" s="7"/>
      <c r="AF5" s="7"/>
      <c r="AG5" s="7"/>
      <c r="AH5" s="7"/>
    </row>
    <row r="6" spans="1:35" s="9" customFormat="1" ht="75.75" customHeight="1">
      <c r="A6" s="668" t="s">
        <v>13</v>
      </c>
      <c r="B6" s="671" t="s">
        <v>0</v>
      </c>
      <c r="C6" s="664" t="s">
        <v>1</v>
      </c>
      <c r="D6" s="664" t="s">
        <v>62</v>
      </c>
      <c r="E6" s="664" t="s">
        <v>2</v>
      </c>
      <c r="F6" s="664" t="s">
        <v>3</v>
      </c>
      <c r="G6" s="664" t="s">
        <v>4</v>
      </c>
      <c r="H6" s="664" t="s">
        <v>5</v>
      </c>
      <c r="I6" s="664" t="s">
        <v>6</v>
      </c>
      <c r="J6" s="664" t="s">
        <v>29</v>
      </c>
      <c r="K6" s="668" t="s">
        <v>14</v>
      </c>
      <c r="L6" s="668" t="s">
        <v>25</v>
      </c>
      <c r="M6" s="668"/>
      <c r="N6" s="668" t="s">
        <v>37</v>
      </c>
      <c r="O6" s="671" t="s">
        <v>165</v>
      </c>
      <c r="P6" s="671"/>
      <c r="Q6" s="671"/>
      <c r="R6" s="671"/>
      <c r="S6" s="671"/>
      <c r="T6" s="671" t="s">
        <v>33</v>
      </c>
      <c r="U6" s="671"/>
      <c r="V6" s="671"/>
      <c r="W6" s="671"/>
      <c r="X6" s="671"/>
      <c r="Y6" s="659" t="s">
        <v>777</v>
      </c>
      <c r="Z6" s="659"/>
      <c r="AA6" s="659"/>
      <c r="AB6" s="659"/>
      <c r="AC6" s="659"/>
      <c r="AD6" s="659" t="s">
        <v>778</v>
      </c>
      <c r="AE6" s="659"/>
      <c r="AF6" s="659"/>
      <c r="AG6" s="659"/>
      <c r="AH6" s="659"/>
      <c r="AI6" s="363" t="s">
        <v>7</v>
      </c>
    </row>
    <row r="7" spans="1:35" s="9" customFormat="1" ht="39.75" customHeight="1">
      <c r="A7" s="669"/>
      <c r="B7" s="662"/>
      <c r="C7" s="665"/>
      <c r="D7" s="665"/>
      <c r="E7" s="665"/>
      <c r="F7" s="665"/>
      <c r="G7" s="665"/>
      <c r="H7" s="665"/>
      <c r="I7" s="665"/>
      <c r="J7" s="665"/>
      <c r="K7" s="669"/>
      <c r="L7" s="669" t="s">
        <v>31</v>
      </c>
      <c r="M7" s="669" t="s">
        <v>26</v>
      </c>
      <c r="N7" s="669"/>
      <c r="O7" s="662" t="s">
        <v>40</v>
      </c>
      <c r="P7" s="662" t="s">
        <v>15</v>
      </c>
      <c r="Q7" s="662" t="s">
        <v>30</v>
      </c>
      <c r="R7" s="662" t="s">
        <v>16</v>
      </c>
      <c r="S7" s="662" t="s">
        <v>68</v>
      </c>
      <c r="T7" s="662" t="s">
        <v>8</v>
      </c>
      <c r="U7" s="662" t="s">
        <v>15</v>
      </c>
      <c r="V7" s="662" t="s">
        <v>30</v>
      </c>
      <c r="W7" s="662" t="s">
        <v>16</v>
      </c>
      <c r="X7" s="662" t="s">
        <v>68</v>
      </c>
      <c r="Y7" s="662" t="s">
        <v>8</v>
      </c>
      <c r="Z7" s="662" t="s">
        <v>15</v>
      </c>
      <c r="AA7" s="662" t="s">
        <v>30</v>
      </c>
      <c r="AB7" s="662" t="s">
        <v>16</v>
      </c>
      <c r="AC7" s="662" t="s">
        <v>68</v>
      </c>
      <c r="AD7" s="662" t="s">
        <v>8</v>
      </c>
      <c r="AE7" s="662" t="s">
        <v>15</v>
      </c>
      <c r="AF7" s="662" t="s">
        <v>30</v>
      </c>
      <c r="AG7" s="662" t="s">
        <v>16</v>
      </c>
      <c r="AH7" s="662" t="s">
        <v>68</v>
      </c>
      <c r="AI7" s="364"/>
    </row>
    <row r="8" spans="1:35" s="9" customFormat="1" ht="75" customHeight="1">
      <c r="A8" s="670"/>
      <c r="B8" s="663"/>
      <c r="C8" s="666"/>
      <c r="D8" s="666"/>
      <c r="E8" s="666"/>
      <c r="F8" s="666"/>
      <c r="G8" s="666"/>
      <c r="H8" s="666"/>
      <c r="I8" s="666"/>
      <c r="J8" s="666"/>
      <c r="K8" s="670"/>
      <c r="L8" s="670"/>
      <c r="M8" s="670"/>
      <c r="N8" s="670"/>
      <c r="O8" s="663"/>
      <c r="P8" s="663"/>
      <c r="Q8" s="663"/>
      <c r="R8" s="663"/>
      <c r="S8" s="663"/>
      <c r="T8" s="663"/>
      <c r="U8" s="663"/>
      <c r="V8" s="663"/>
      <c r="W8" s="663"/>
      <c r="X8" s="663"/>
      <c r="Y8" s="663"/>
      <c r="Z8" s="663"/>
      <c r="AA8" s="663"/>
      <c r="AB8" s="663"/>
      <c r="AC8" s="663"/>
      <c r="AD8" s="663"/>
      <c r="AE8" s="663"/>
      <c r="AF8" s="663"/>
      <c r="AG8" s="663"/>
      <c r="AH8" s="663"/>
      <c r="AI8" s="299"/>
    </row>
    <row r="9" spans="1:35" s="10" customFormat="1" ht="15.75">
      <c r="A9" s="106"/>
      <c r="B9" s="37" t="s">
        <v>12</v>
      </c>
      <c r="C9" s="37"/>
      <c r="D9" s="37"/>
      <c r="E9" s="37"/>
      <c r="F9" s="38"/>
      <c r="G9" s="38"/>
      <c r="H9" s="59"/>
      <c r="I9" s="169"/>
      <c r="J9" s="169"/>
      <c r="K9" s="169"/>
      <c r="L9" s="184">
        <f t="shared" ref="L9:AH9" si="0">L10+L18</f>
        <v>1022554.2650000001</v>
      </c>
      <c r="M9" s="184">
        <f t="shared" si="0"/>
        <v>35137.491691000003</v>
      </c>
      <c r="N9" s="184">
        <f t="shared" si="0"/>
        <v>0</v>
      </c>
      <c r="O9" s="184">
        <f t="shared" si="0"/>
        <v>236730.34599999999</v>
      </c>
      <c r="P9" s="184">
        <f t="shared" si="0"/>
        <v>11560</v>
      </c>
      <c r="Q9" s="184">
        <f t="shared" si="0"/>
        <v>57000.255999999994</v>
      </c>
      <c r="R9" s="184">
        <f t="shared" si="0"/>
        <v>136825</v>
      </c>
      <c r="S9" s="169">
        <f t="shared" si="0"/>
        <v>31345.09</v>
      </c>
      <c r="T9" s="169">
        <f>T10+T18</f>
        <v>204753.91297399998</v>
      </c>
      <c r="U9" s="169">
        <f t="shared" si="0"/>
        <v>10068.512973999999</v>
      </c>
      <c r="V9" s="169">
        <f t="shared" si="0"/>
        <v>46853.0245</v>
      </c>
      <c r="W9" s="169">
        <f t="shared" si="0"/>
        <v>116487.2855</v>
      </c>
      <c r="X9" s="169">
        <f t="shared" si="0"/>
        <v>31345.09</v>
      </c>
      <c r="Y9" s="169">
        <f t="shared" si="0"/>
        <v>236700.34599999999</v>
      </c>
      <c r="Z9" s="169">
        <f t="shared" si="0"/>
        <v>11530</v>
      </c>
      <c r="AA9" s="169">
        <f t="shared" si="0"/>
        <v>57000.255999999994</v>
      </c>
      <c r="AB9" s="169">
        <f t="shared" si="0"/>
        <v>136825</v>
      </c>
      <c r="AC9" s="169">
        <f t="shared" si="0"/>
        <v>31345.09</v>
      </c>
      <c r="AD9" s="169">
        <f t="shared" si="0"/>
        <v>236700.34599999999</v>
      </c>
      <c r="AE9" s="169">
        <f t="shared" si="0"/>
        <v>11530</v>
      </c>
      <c r="AF9" s="169">
        <f t="shared" si="0"/>
        <v>57000.255999999994</v>
      </c>
      <c r="AG9" s="169">
        <f t="shared" si="0"/>
        <v>136825</v>
      </c>
      <c r="AH9" s="169">
        <f t="shared" si="0"/>
        <v>31345.09</v>
      </c>
      <c r="AI9" s="356"/>
    </row>
    <row r="10" spans="1:35" s="13" customFormat="1" ht="15.75">
      <c r="A10" s="102" t="s">
        <v>17</v>
      </c>
      <c r="B10" s="102" t="s">
        <v>18</v>
      </c>
      <c r="C10" s="102"/>
      <c r="D10" s="103"/>
      <c r="E10" s="103"/>
      <c r="F10" s="36"/>
      <c r="G10" s="36"/>
      <c r="H10" s="104"/>
      <c r="I10" s="105"/>
      <c r="J10" s="105"/>
      <c r="K10" s="105"/>
      <c r="L10" s="585">
        <f>+L11+L13</f>
        <v>104175</v>
      </c>
      <c r="M10" s="585"/>
      <c r="N10" s="585">
        <f>+N11+N13</f>
        <v>0</v>
      </c>
      <c r="O10" s="585">
        <f>+O11+O13</f>
        <v>940</v>
      </c>
      <c r="P10" s="585">
        <f t="shared" ref="P10:X10" si="1">+P11+P13</f>
        <v>940</v>
      </c>
      <c r="Q10" s="585">
        <f t="shared" si="1"/>
        <v>0</v>
      </c>
      <c r="R10" s="585">
        <f t="shared" si="1"/>
        <v>0</v>
      </c>
      <c r="S10" s="107">
        <f t="shared" si="1"/>
        <v>0</v>
      </c>
      <c r="T10" s="107">
        <f t="shared" si="1"/>
        <v>469.53697399999999</v>
      </c>
      <c r="U10" s="107">
        <f t="shared" si="1"/>
        <v>469.53697399999999</v>
      </c>
      <c r="V10" s="107">
        <f t="shared" si="1"/>
        <v>0</v>
      </c>
      <c r="W10" s="107">
        <f t="shared" si="1"/>
        <v>0</v>
      </c>
      <c r="X10" s="107">
        <f t="shared" si="1"/>
        <v>0</v>
      </c>
      <c r="Y10" s="107">
        <f t="shared" ref="Y10:AC10" si="2">+Y11+Y13</f>
        <v>910</v>
      </c>
      <c r="Z10" s="107">
        <f t="shared" si="2"/>
        <v>910</v>
      </c>
      <c r="AA10" s="107">
        <f t="shared" si="2"/>
        <v>0</v>
      </c>
      <c r="AB10" s="107">
        <f t="shared" si="2"/>
        <v>0</v>
      </c>
      <c r="AC10" s="107">
        <f t="shared" si="2"/>
        <v>0</v>
      </c>
      <c r="AD10" s="107">
        <f t="shared" ref="AD10:AH10" si="3">+AD11+AD13</f>
        <v>910</v>
      </c>
      <c r="AE10" s="107">
        <f t="shared" si="3"/>
        <v>910</v>
      </c>
      <c r="AF10" s="107">
        <f t="shared" si="3"/>
        <v>0</v>
      </c>
      <c r="AG10" s="107">
        <f t="shared" si="3"/>
        <v>0</v>
      </c>
      <c r="AH10" s="107">
        <f t="shared" si="3"/>
        <v>0</v>
      </c>
      <c r="AI10" s="37"/>
    </row>
    <row r="11" spans="1:35" s="16" customFormat="1" ht="15.75">
      <c r="A11" s="367" t="s">
        <v>9</v>
      </c>
      <c r="B11" s="165" t="s">
        <v>19</v>
      </c>
      <c r="C11" s="165"/>
      <c r="D11" s="12"/>
      <c r="E11" s="12"/>
      <c r="F11" s="1"/>
      <c r="G11" s="1"/>
      <c r="H11" s="26"/>
      <c r="I11" s="15" t="s">
        <v>20</v>
      </c>
      <c r="J11" s="15"/>
      <c r="K11" s="15"/>
      <c r="L11" s="19"/>
      <c r="M11" s="19"/>
      <c r="N11" s="19"/>
      <c r="O11" s="586"/>
      <c r="P11" s="586"/>
      <c r="Q11" s="586"/>
      <c r="R11" s="586"/>
      <c r="S11" s="2"/>
      <c r="T11" s="11"/>
      <c r="U11" s="11"/>
      <c r="V11" s="11"/>
      <c r="W11" s="11"/>
      <c r="X11" s="2"/>
      <c r="Y11" s="11"/>
      <c r="Z11" s="11"/>
      <c r="AA11" s="11"/>
      <c r="AB11" s="11"/>
      <c r="AC11" s="2"/>
      <c r="AD11" s="11"/>
      <c r="AE11" s="11"/>
      <c r="AF11" s="11"/>
      <c r="AG11" s="11"/>
      <c r="AH11" s="2"/>
      <c r="AI11" s="38"/>
    </row>
    <row r="12" spans="1:35" s="4" customFormat="1" ht="15.75">
      <c r="A12" s="14"/>
      <c r="B12" s="3" t="s">
        <v>32</v>
      </c>
      <c r="C12" s="3"/>
      <c r="D12" s="17"/>
      <c r="E12" s="1"/>
      <c r="F12" s="17"/>
      <c r="G12" s="17"/>
      <c r="H12" s="27"/>
      <c r="I12" s="18"/>
      <c r="J12" s="18"/>
      <c r="K12" s="18"/>
      <c r="L12" s="19"/>
      <c r="M12" s="19"/>
      <c r="N12" s="19"/>
      <c r="O12" s="19"/>
      <c r="P12" s="19"/>
      <c r="Q12" s="19"/>
      <c r="R12" s="19"/>
      <c r="S12" s="19"/>
      <c r="T12" s="19"/>
      <c r="U12" s="19"/>
      <c r="V12" s="19"/>
      <c r="W12" s="19"/>
      <c r="X12" s="19"/>
      <c r="Y12" s="19"/>
      <c r="Z12" s="19"/>
      <c r="AA12" s="19"/>
      <c r="AB12" s="19"/>
      <c r="AC12" s="19"/>
      <c r="AD12" s="19"/>
      <c r="AE12" s="19"/>
      <c r="AF12" s="19"/>
      <c r="AG12" s="19"/>
      <c r="AH12" s="19"/>
      <c r="AI12" s="357"/>
    </row>
    <row r="13" spans="1:35" s="16" customFormat="1" ht="15.75">
      <c r="A13" s="367" t="s">
        <v>10</v>
      </c>
      <c r="B13" s="165" t="s">
        <v>21</v>
      </c>
      <c r="C13" s="165"/>
      <c r="D13" s="12"/>
      <c r="E13" s="12"/>
      <c r="F13" s="1"/>
      <c r="G13" s="1"/>
      <c r="H13" s="26"/>
      <c r="I13" s="15"/>
      <c r="J13" s="15"/>
      <c r="K13" s="15"/>
      <c r="L13" s="586">
        <f t="shared" ref="L13:AH13" si="4">L14+L16</f>
        <v>104175</v>
      </c>
      <c r="M13" s="586">
        <f t="shared" si="4"/>
        <v>0</v>
      </c>
      <c r="N13" s="586">
        <f t="shared" si="4"/>
        <v>0</v>
      </c>
      <c r="O13" s="586">
        <f t="shared" si="4"/>
        <v>940</v>
      </c>
      <c r="P13" s="586">
        <f t="shared" si="4"/>
        <v>940</v>
      </c>
      <c r="Q13" s="586">
        <f t="shared" si="4"/>
        <v>0</v>
      </c>
      <c r="R13" s="586">
        <f t="shared" si="4"/>
        <v>0</v>
      </c>
      <c r="S13" s="11">
        <f t="shared" si="4"/>
        <v>0</v>
      </c>
      <c r="T13" s="11">
        <f t="shared" si="4"/>
        <v>469.53697399999999</v>
      </c>
      <c r="U13" s="11">
        <f t="shared" si="4"/>
        <v>469.53697399999999</v>
      </c>
      <c r="V13" s="11">
        <f t="shared" si="4"/>
        <v>0</v>
      </c>
      <c r="W13" s="11">
        <f t="shared" si="4"/>
        <v>0</v>
      </c>
      <c r="X13" s="11">
        <f t="shared" si="4"/>
        <v>0</v>
      </c>
      <c r="Y13" s="11">
        <f t="shared" si="4"/>
        <v>910</v>
      </c>
      <c r="Z13" s="11">
        <f t="shared" si="4"/>
        <v>910</v>
      </c>
      <c r="AA13" s="11">
        <f t="shared" si="4"/>
        <v>0</v>
      </c>
      <c r="AB13" s="11">
        <f t="shared" si="4"/>
        <v>0</v>
      </c>
      <c r="AC13" s="11">
        <f t="shared" si="4"/>
        <v>0</v>
      </c>
      <c r="AD13" s="11">
        <f t="shared" si="4"/>
        <v>910</v>
      </c>
      <c r="AE13" s="11">
        <f t="shared" si="4"/>
        <v>910</v>
      </c>
      <c r="AF13" s="11">
        <f t="shared" si="4"/>
        <v>0</v>
      </c>
      <c r="AG13" s="11">
        <f t="shared" si="4"/>
        <v>0</v>
      </c>
      <c r="AH13" s="11">
        <f t="shared" si="4"/>
        <v>0</v>
      </c>
      <c r="AI13" s="38"/>
    </row>
    <row r="14" spans="1:35" s="34" customFormat="1" ht="15.75">
      <c r="A14" s="579"/>
      <c r="B14" s="580" t="s">
        <v>36</v>
      </c>
      <c r="C14" s="581"/>
      <c r="D14" s="581"/>
      <c r="E14" s="581"/>
      <c r="F14" s="581"/>
      <c r="G14" s="581"/>
      <c r="H14" s="582"/>
      <c r="I14" s="579"/>
      <c r="J14" s="579"/>
      <c r="K14" s="579"/>
      <c r="L14" s="587">
        <f t="shared" ref="L14:AH14" si="5">+SUM(L15:L15)</f>
        <v>104175</v>
      </c>
      <c r="M14" s="587">
        <f t="shared" si="5"/>
        <v>0</v>
      </c>
      <c r="N14" s="587">
        <f t="shared" si="5"/>
        <v>0</v>
      </c>
      <c r="O14" s="587">
        <f t="shared" si="5"/>
        <v>170</v>
      </c>
      <c r="P14" s="587">
        <f t="shared" si="5"/>
        <v>170</v>
      </c>
      <c r="Q14" s="587">
        <f t="shared" si="5"/>
        <v>0</v>
      </c>
      <c r="R14" s="587">
        <f t="shared" si="5"/>
        <v>0</v>
      </c>
      <c r="S14" s="422">
        <f t="shared" si="5"/>
        <v>0</v>
      </c>
      <c r="T14" s="422">
        <f t="shared" si="5"/>
        <v>139.53697399999999</v>
      </c>
      <c r="U14" s="422">
        <f t="shared" si="5"/>
        <v>139.53697399999999</v>
      </c>
      <c r="V14" s="422">
        <f t="shared" si="5"/>
        <v>0</v>
      </c>
      <c r="W14" s="422">
        <f t="shared" si="5"/>
        <v>0</v>
      </c>
      <c r="X14" s="422">
        <f t="shared" si="5"/>
        <v>0</v>
      </c>
      <c r="Y14" s="422">
        <f t="shared" si="5"/>
        <v>140</v>
      </c>
      <c r="Z14" s="422">
        <f t="shared" si="5"/>
        <v>140</v>
      </c>
      <c r="AA14" s="422">
        <f t="shared" si="5"/>
        <v>0</v>
      </c>
      <c r="AB14" s="422">
        <f t="shared" si="5"/>
        <v>0</v>
      </c>
      <c r="AC14" s="422">
        <f t="shared" si="5"/>
        <v>0</v>
      </c>
      <c r="AD14" s="422">
        <f t="shared" si="5"/>
        <v>140</v>
      </c>
      <c r="AE14" s="422">
        <f t="shared" si="5"/>
        <v>140</v>
      </c>
      <c r="AF14" s="422">
        <f t="shared" si="5"/>
        <v>0</v>
      </c>
      <c r="AG14" s="422">
        <f t="shared" si="5"/>
        <v>0</v>
      </c>
      <c r="AH14" s="422">
        <f t="shared" si="5"/>
        <v>0</v>
      </c>
      <c r="AI14" s="358"/>
    </row>
    <row r="15" spans="1:35" s="21" customFormat="1" ht="78.75">
      <c r="A15" s="291">
        <v>1</v>
      </c>
      <c r="B15" s="172" t="s">
        <v>34</v>
      </c>
      <c r="C15" s="291" t="s">
        <v>47</v>
      </c>
      <c r="D15" s="291"/>
      <c r="E15" s="291" t="s">
        <v>63</v>
      </c>
      <c r="F15" s="38">
        <v>7873769</v>
      </c>
      <c r="G15" s="38">
        <v>292</v>
      </c>
      <c r="H15" s="421"/>
      <c r="I15" s="291"/>
      <c r="J15" s="291"/>
      <c r="K15" s="291" t="s">
        <v>35</v>
      </c>
      <c r="L15" s="587">
        <v>104175</v>
      </c>
      <c r="M15" s="587"/>
      <c r="N15" s="587"/>
      <c r="O15" s="587">
        <f>SUM(P15:S15)</f>
        <v>170</v>
      </c>
      <c r="P15" s="588">
        <v>170</v>
      </c>
      <c r="Q15" s="588"/>
      <c r="R15" s="588"/>
      <c r="S15" s="422"/>
      <c r="T15" s="422">
        <f>SUM(U15:X15)</f>
        <v>139.53697399999999</v>
      </c>
      <c r="U15" s="422">
        <f>'[1]NSDP thang'!T15</f>
        <v>139.53697399999999</v>
      </c>
      <c r="V15" s="423"/>
      <c r="W15" s="423"/>
      <c r="X15" s="423"/>
      <c r="Y15" s="422">
        <f>SUM(Z15:AC15)</f>
        <v>140</v>
      </c>
      <c r="Z15" s="422">
        <f>'[1]NSDP thang'!Y15</f>
        <v>140</v>
      </c>
      <c r="AA15" s="422"/>
      <c r="AB15" s="422"/>
      <c r="AC15" s="422"/>
      <c r="AD15" s="422">
        <f>SUM(AE15:AH15)</f>
        <v>140</v>
      </c>
      <c r="AE15" s="422">
        <f>'[1]NSDP thang'!AD15</f>
        <v>140</v>
      </c>
      <c r="AF15" s="423"/>
      <c r="AG15" s="423"/>
      <c r="AH15" s="423"/>
      <c r="AI15" s="172"/>
    </row>
    <row r="16" spans="1:35" s="21" customFormat="1" ht="24" customHeight="1">
      <c r="A16" s="579"/>
      <c r="B16" s="584" t="s">
        <v>56</v>
      </c>
      <c r="C16" s="291"/>
      <c r="D16" s="38"/>
      <c r="E16" s="38"/>
      <c r="F16" s="38"/>
      <c r="G16" s="38"/>
      <c r="H16" s="421"/>
      <c r="I16" s="291"/>
      <c r="J16" s="291"/>
      <c r="K16" s="291"/>
      <c r="L16" s="587"/>
      <c r="M16" s="587"/>
      <c r="N16" s="587"/>
      <c r="O16" s="587">
        <f>O17</f>
        <v>770</v>
      </c>
      <c r="P16" s="587">
        <f t="shared" ref="P16:AI16" si="6">P17</f>
        <v>770</v>
      </c>
      <c r="Q16" s="587">
        <f t="shared" si="6"/>
        <v>0</v>
      </c>
      <c r="R16" s="587">
        <f t="shared" si="6"/>
        <v>0</v>
      </c>
      <c r="S16" s="422">
        <f t="shared" si="6"/>
        <v>0</v>
      </c>
      <c r="T16" s="422">
        <f t="shared" si="6"/>
        <v>330</v>
      </c>
      <c r="U16" s="422">
        <f t="shared" si="6"/>
        <v>330</v>
      </c>
      <c r="V16" s="422">
        <f t="shared" si="6"/>
        <v>0</v>
      </c>
      <c r="W16" s="422">
        <f t="shared" si="6"/>
        <v>0</v>
      </c>
      <c r="X16" s="422">
        <f t="shared" si="6"/>
        <v>0</v>
      </c>
      <c r="Y16" s="422">
        <f t="shared" si="6"/>
        <v>770</v>
      </c>
      <c r="Z16" s="422">
        <f t="shared" si="6"/>
        <v>770</v>
      </c>
      <c r="AA16" s="422">
        <f t="shared" si="6"/>
        <v>0</v>
      </c>
      <c r="AB16" s="422">
        <f t="shared" si="6"/>
        <v>0</v>
      </c>
      <c r="AC16" s="422">
        <f t="shared" si="6"/>
        <v>0</v>
      </c>
      <c r="AD16" s="422">
        <f t="shared" si="6"/>
        <v>770</v>
      </c>
      <c r="AE16" s="422">
        <f t="shared" si="6"/>
        <v>770</v>
      </c>
      <c r="AF16" s="422">
        <f t="shared" si="6"/>
        <v>0</v>
      </c>
      <c r="AG16" s="422">
        <f t="shared" si="6"/>
        <v>0</v>
      </c>
      <c r="AH16" s="422">
        <f t="shared" si="6"/>
        <v>0</v>
      </c>
      <c r="AI16" s="422">
        <f t="shared" si="6"/>
        <v>0</v>
      </c>
    </row>
    <row r="17" spans="1:35" s="21" customFormat="1" ht="47.25">
      <c r="A17" s="291">
        <v>1</v>
      </c>
      <c r="B17" s="583" t="s">
        <v>701</v>
      </c>
      <c r="C17" s="291" t="s">
        <v>47</v>
      </c>
      <c r="D17" s="291" t="s">
        <v>702</v>
      </c>
      <c r="E17" s="291" t="s">
        <v>63</v>
      </c>
      <c r="F17" s="38">
        <v>7925998</v>
      </c>
      <c r="G17" s="38">
        <v>161</v>
      </c>
      <c r="H17" s="421"/>
      <c r="I17" s="291"/>
      <c r="J17" s="291"/>
      <c r="K17" s="291"/>
      <c r="L17" s="587">
        <v>1334</v>
      </c>
      <c r="M17" s="587"/>
      <c r="N17" s="587">
        <f>SUM(P17:R17)</f>
        <v>770</v>
      </c>
      <c r="O17" s="587">
        <f>SUM(P17:S17)</f>
        <v>770</v>
      </c>
      <c r="P17" s="588">
        <f>1200+70-500</f>
        <v>770</v>
      </c>
      <c r="Q17" s="588"/>
      <c r="R17" s="588"/>
      <c r="S17" s="422"/>
      <c r="T17" s="422">
        <f>SUM(U17:X17)</f>
        <v>330</v>
      </c>
      <c r="U17" s="422">
        <v>330</v>
      </c>
      <c r="V17" s="423"/>
      <c r="W17" s="677"/>
      <c r="X17" s="423"/>
      <c r="Y17" s="587">
        <f>SUM(Z17:AC17)</f>
        <v>770</v>
      </c>
      <c r="Z17" s="588">
        <f>1200+70-500</f>
        <v>770</v>
      </c>
      <c r="AA17" s="422"/>
      <c r="AB17" s="422"/>
      <c r="AC17" s="422"/>
      <c r="AD17" s="587">
        <f>SUM(AE17:AH17)</f>
        <v>770</v>
      </c>
      <c r="AE17" s="588">
        <f>1200+70-500</f>
        <v>770</v>
      </c>
      <c r="AF17" s="423"/>
      <c r="AG17" s="423"/>
      <c r="AH17" s="423"/>
      <c r="AI17" s="172"/>
    </row>
    <row r="18" spans="1:35" s="16" customFormat="1" ht="15.75">
      <c r="A18" s="367" t="s">
        <v>22</v>
      </c>
      <c r="B18" s="165" t="s">
        <v>39</v>
      </c>
      <c r="C18" s="165"/>
      <c r="D18" s="12"/>
      <c r="E18" s="12"/>
      <c r="F18" s="1"/>
      <c r="G18" s="1"/>
      <c r="H18" s="26"/>
      <c r="I18" s="15"/>
      <c r="J18" s="15"/>
      <c r="K18" s="15"/>
      <c r="L18" s="11">
        <f t="shared" ref="L18:AH18" si="7">L19+L39+L46</f>
        <v>918379.26500000013</v>
      </c>
      <c r="M18" s="11">
        <f t="shared" si="7"/>
        <v>35137.491691000003</v>
      </c>
      <c r="N18" s="11">
        <f t="shared" si="7"/>
        <v>0</v>
      </c>
      <c r="O18" s="11">
        <f t="shared" si="7"/>
        <v>235790.34599999999</v>
      </c>
      <c r="P18" s="11">
        <f t="shared" si="7"/>
        <v>10620</v>
      </c>
      <c r="Q18" s="11">
        <f t="shared" si="7"/>
        <v>57000.255999999994</v>
      </c>
      <c r="R18" s="11">
        <f t="shared" si="7"/>
        <v>136825</v>
      </c>
      <c r="S18" s="11">
        <f t="shared" si="7"/>
        <v>31345.09</v>
      </c>
      <c r="T18" s="11">
        <f>T19+T39+T46</f>
        <v>204284.37599999999</v>
      </c>
      <c r="U18" s="11">
        <f t="shared" si="7"/>
        <v>9598.9759999999987</v>
      </c>
      <c r="V18" s="11">
        <f t="shared" si="7"/>
        <v>46853.0245</v>
      </c>
      <c r="W18" s="11">
        <f t="shared" si="7"/>
        <v>116487.2855</v>
      </c>
      <c r="X18" s="11">
        <f t="shared" si="7"/>
        <v>31345.09</v>
      </c>
      <c r="Y18" s="11">
        <f t="shared" si="7"/>
        <v>235790.34599999999</v>
      </c>
      <c r="Z18" s="11">
        <f t="shared" si="7"/>
        <v>10620</v>
      </c>
      <c r="AA18" s="11">
        <f t="shared" si="7"/>
        <v>57000.255999999994</v>
      </c>
      <c r="AB18" s="11">
        <f t="shared" si="7"/>
        <v>136825</v>
      </c>
      <c r="AC18" s="11">
        <f t="shared" si="7"/>
        <v>31345.09</v>
      </c>
      <c r="AD18" s="11">
        <f t="shared" si="7"/>
        <v>235790.34599999999</v>
      </c>
      <c r="AE18" s="11">
        <f t="shared" si="7"/>
        <v>10620</v>
      </c>
      <c r="AF18" s="11">
        <f t="shared" si="7"/>
        <v>57000.255999999994</v>
      </c>
      <c r="AG18" s="11">
        <f t="shared" si="7"/>
        <v>136825</v>
      </c>
      <c r="AH18" s="11">
        <f t="shared" si="7"/>
        <v>31345.09</v>
      </c>
      <c r="AI18" s="38"/>
    </row>
    <row r="19" spans="1:35" s="16" customFormat="1" ht="15.75">
      <c r="A19" s="367" t="s">
        <v>9</v>
      </c>
      <c r="B19" s="165" t="s">
        <v>23</v>
      </c>
      <c r="C19" s="165"/>
      <c r="D19" s="12"/>
      <c r="E19" s="12"/>
      <c r="F19" s="1"/>
      <c r="G19" s="1"/>
      <c r="H19" s="26"/>
      <c r="I19" s="15"/>
      <c r="J19" s="15"/>
      <c r="K19" s="15"/>
      <c r="L19" s="11">
        <f>L20+L28+L31+L34+L37</f>
        <v>323090.30600000004</v>
      </c>
      <c r="M19" s="11">
        <f t="shared" ref="M19:X19" si="8">M20+M28+M31+M34+M37</f>
        <v>17201.882130000002</v>
      </c>
      <c r="N19" s="11">
        <f t="shared" si="8"/>
        <v>0</v>
      </c>
      <c r="O19" s="11">
        <f t="shared" si="8"/>
        <v>136825</v>
      </c>
      <c r="P19" s="11">
        <f t="shared" si="8"/>
        <v>0</v>
      </c>
      <c r="Q19" s="11">
        <f t="shared" si="8"/>
        <v>0</v>
      </c>
      <c r="R19" s="11">
        <f>R20+R28+R31+R34+R37</f>
        <v>136825</v>
      </c>
      <c r="S19" s="11">
        <f t="shared" si="8"/>
        <v>0</v>
      </c>
      <c r="T19" s="11">
        <f>T20+T28+T31+T34+T37</f>
        <v>116487.2855</v>
      </c>
      <c r="U19" s="11">
        <f t="shared" si="8"/>
        <v>0</v>
      </c>
      <c r="V19" s="11">
        <f t="shared" si="8"/>
        <v>0</v>
      </c>
      <c r="W19" s="11">
        <f t="shared" si="8"/>
        <v>116487.2855</v>
      </c>
      <c r="X19" s="11">
        <f t="shared" si="8"/>
        <v>0</v>
      </c>
      <c r="Y19" s="11">
        <f t="shared" ref="Y19:AC19" si="9">Y20+Y28+Y31+Y34+Y37</f>
        <v>136825</v>
      </c>
      <c r="Z19" s="11">
        <f t="shared" si="9"/>
        <v>0</v>
      </c>
      <c r="AA19" s="11">
        <f t="shared" si="9"/>
        <v>0</v>
      </c>
      <c r="AB19" s="11">
        <f t="shared" si="9"/>
        <v>136825</v>
      </c>
      <c r="AC19" s="11">
        <f t="shared" si="9"/>
        <v>0</v>
      </c>
      <c r="AD19" s="11">
        <f t="shared" ref="AD19:AH19" si="10">AD20+AD28+AD31+AD34+AD37</f>
        <v>136825</v>
      </c>
      <c r="AE19" s="11">
        <f t="shared" si="10"/>
        <v>0</v>
      </c>
      <c r="AF19" s="11">
        <f t="shared" si="10"/>
        <v>0</v>
      </c>
      <c r="AG19" s="11">
        <f t="shared" si="10"/>
        <v>136825</v>
      </c>
      <c r="AH19" s="11">
        <f t="shared" si="10"/>
        <v>0</v>
      </c>
      <c r="AI19" s="38"/>
    </row>
    <row r="20" spans="1:35" s="49" customFormat="1" ht="15.75">
      <c r="A20" s="103">
        <v>1</v>
      </c>
      <c r="B20" s="140" t="s">
        <v>27</v>
      </c>
      <c r="C20" s="105"/>
      <c r="D20" s="103"/>
      <c r="E20" s="103"/>
      <c r="F20" s="103"/>
      <c r="G20" s="103"/>
      <c r="H20" s="141"/>
      <c r="I20" s="103"/>
      <c r="J20" s="103"/>
      <c r="K20" s="103"/>
      <c r="L20" s="11">
        <f t="shared" ref="L20:X20" si="11">L22+L25+L27</f>
        <v>195510.96799999999</v>
      </c>
      <c r="M20" s="11">
        <f t="shared" si="11"/>
        <v>7217.4417899999999</v>
      </c>
      <c r="N20" s="11">
        <f t="shared" si="11"/>
        <v>0</v>
      </c>
      <c r="O20" s="11">
        <f t="shared" si="11"/>
        <v>70790</v>
      </c>
      <c r="P20" s="11">
        <f t="shared" si="11"/>
        <v>0</v>
      </c>
      <c r="Q20" s="11">
        <f t="shared" si="11"/>
        <v>0</v>
      </c>
      <c r="R20" s="11">
        <f t="shared" si="11"/>
        <v>70790</v>
      </c>
      <c r="S20" s="11">
        <f t="shared" si="11"/>
        <v>0</v>
      </c>
      <c r="T20" s="11">
        <f t="shared" si="11"/>
        <v>61862.355499999998</v>
      </c>
      <c r="U20" s="11">
        <f t="shared" si="11"/>
        <v>0</v>
      </c>
      <c r="V20" s="11">
        <f t="shared" si="11"/>
        <v>0</v>
      </c>
      <c r="W20" s="11">
        <f t="shared" si="11"/>
        <v>61862.355499999998</v>
      </c>
      <c r="X20" s="11">
        <f t="shared" si="11"/>
        <v>0</v>
      </c>
      <c r="Y20" s="11">
        <f t="shared" ref="Y20:AC20" si="12">Y22+Y25+Y27</f>
        <v>70790</v>
      </c>
      <c r="Z20" s="11">
        <f t="shared" si="12"/>
        <v>0</v>
      </c>
      <c r="AA20" s="11">
        <f t="shared" si="12"/>
        <v>0</v>
      </c>
      <c r="AB20" s="11">
        <f t="shared" si="12"/>
        <v>70790</v>
      </c>
      <c r="AC20" s="11">
        <f t="shared" si="12"/>
        <v>0</v>
      </c>
      <c r="AD20" s="11">
        <f t="shared" ref="AD20:AH20" si="13">AD22+AD25+AD27</f>
        <v>70790</v>
      </c>
      <c r="AE20" s="11">
        <f t="shared" si="13"/>
        <v>0</v>
      </c>
      <c r="AF20" s="11">
        <f t="shared" si="13"/>
        <v>0</v>
      </c>
      <c r="AG20" s="11">
        <f t="shared" si="13"/>
        <v>70790</v>
      </c>
      <c r="AH20" s="11">
        <f t="shared" si="13"/>
        <v>0</v>
      </c>
      <c r="AI20" s="359"/>
    </row>
    <row r="21" spans="1:35" s="4" customFormat="1" ht="15.75">
      <c r="A21" s="29"/>
      <c r="B21" s="58" t="s">
        <v>11</v>
      </c>
      <c r="C21" s="73"/>
      <c r="D21" s="29"/>
      <c r="E21" s="29"/>
      <c r="F21" s="29"/>
      <c r="G21" s="29"/>
      <c r="H21" s="74"/>
      <c r="I21" s="29"/>
      <c r="J21" s="29"/>
      <c r="K21" s="29"/>
      <c r="L21" s="2"/>
      <c r="M21" s="2"/>
      <c r="N21" s="2"/>
      <c r="O21" s="2"/>
      <c r="P21" s="2"/>
      <c r="Q21" s="2"/>
      <c r="R21" s="2"/>
      <c r="S21" s="2"/>
      <c r="T21" s="2"/>
      <c r="U21" s="2"/>
      <c r="V21" s="2"/>
      <c r="W21" s="2"/>
      <c r="X21" s="2"/>
      <c r="Y21" s="2"/>
      <c r="Z21" s="2"/>
      <c r="AA21" s="2"/>
      <c r="AB21" s="2"/>
      <c r="AC21" s="2"/>
      <c r="AD21" s="2"/>
      <c r="AE21" s="2"/>
      <c r="AF21" s="2"/>
      <c r="AG21" s="2"/>
      <c r="AH21" s="2"/>
      <c r="AI21" s="357"/>
    </row>
    <row r="22" spans="1:35" s="16" customFormat="1" ht="47.25">
      <c r="A22" s="14" t="s">
        <v>24</v>
      </c>
      <c r="B22" s="101" t="s">
        <v>28</v>
      </c>
      <c r="C22" s="14"/>
      <c r="D22" s="1"/>
      <c r="E22" s="1"/>
      <c r="F22" s="1"/>
      <c r="G22" s="1"/>
      <c r="H22" s="26"/>
      <c r="I22" s="15"/>
      <c r="J22" s="15"/>
      <c r="K22" s="15"/>
      <c r="L22" s="2">
        <f>L23+L24</f>
        <v>160430.96799999999</v>
      </c>
      <c r="M22" s="2">
        <f t="shared" ref="M22:N22" si="14">M23+M24</f>
        <v>5811.4417899999999</v>
      </c>
      <c r="N22" s="2">
        <f t="shared" si="14"/>
        <v>0</v>
      </c>
      <c r="O22" s="2">
        <f>O23+O24</f>
        <v>63511.756000000001</v>
      </c>
      <c r="P22" s="2">
        <f t="shared" ref="P22:X22" si="15">P23+P24</f>
        <v>0</v>
      </c>
      <c r="Q22" s="2">
        <f t="shared" si="15"/>
        <v>0</v>
      </c>
      <c r="R22" s="2">
        <f>R23+R24</f>
        <v>63511.756000000001</v>
      </c>
      <c r="S22" s="2">
        <f t="shared" si="15"/>
        <v>0</v>
      </c>
      <c r="T22" s="2">
        <f>T23+T24</f>
        <v>54584.111499999999</v>
      </c>
      <c r="U22" s="2">
        <f t="shared" si="15"/>
        <v>0</v>
      </c>
      <c r="V22" s="2">
        <f t="shared" si="15"/>
        <v>0</v>
      </c>
      <c r="W22" s="2">
        <f>W23+W24</f>
        <v>54584.111499999999</v>
      </c>
      <c r="X22" s="2">
        <f t="shared" si="15"/>
        <v>0</v>
      </c>
      <c r="Y22" s="2">
        <f>Y23+Y24</f>
        <v>63511.756000000001</v>
      </c>
      <c r="Z22" s="2">
        <f t="shared" ref="Z22:AA22" si="16">Z23+Z24</f>
        <v>0</v>
      </c>
      <c r="AA22" s="2">
        <f t="shared" si="16"/>
        <v>0</v>
      </c>
      <c r="AB22" s="2">
        <f>AB23+AB24</f>
        <v>63511.756000000001</v>
      </c>
      <c r="AC22" s="2">
        <f t="shared" ref="AC22:AF22" si="17">AC23+AC24</f>
        <v>0</v>
      </c>
      <c r="AD22" s="2">
        <f t="shared" si="17"/>
        <v>63511.756000000001</v>
      </c>
      <c r="AE22" s="2">
        <f t="shared" si="17"/>
        <v>0</v>
      </c>
      <c r="AF22" s="2">
        <f t="shared" si="17"/>
        <v>0</v>
      </c>
      <c r="AG22" s="2">
        <f>AG23+AG24</f>
        <v>63511.756000000001</v>
      </c>
      <c r="AH22" s="2">
        <f t="shared" ref="AH22" si="18">AH23+AH24</f>
        <v>0</v>
      </c>
      <c r="AI22" s="38"/>
    </row>
    <row r="23" spans="1:35" s="139" customFormat="1" ht="15.75">
      <c r="A23" s="131"/>
      <c r="B23" s="132" t="s">
        <v>36</v>
      </c>
      <c r="C23" s="131"/>
      <c r="D23" s="131"/>
      <c r="E23" s="131"/>
      <c r="F23" s="131"/>
      <c r="G23" s="131"/>
      <c r="H23" s="133"/>
      <c r="I23" s="131"/>
      <c r="J23" s="134"/>
      <c r="K23" s="131"/>
      <c r="L23" s="135">
        <f>'NSDP thang'!K24</f>
        <v>72067.66</v>
      </c>
      <c r="M23" s="135">
        <f>'NSDP thang'!L24</f>
        <v>1165.4417900000001</v>
      </c>
      <c r="N23" s="135"/>
      <c r="O23" s="136">
        <f t="shared" ref="O23" si="19">SUM(P23:S23)</f>
        <v>7200.19</v>
      </c>
      <c r="P23" s="135"/>
      <c r="Q23" s="135"/>
      <c r="R23" s="137">
        <f>'NSDP thang'!Q24</f>
        <v>7200.19</v>
      </c>
      <c r="S23" s="135"/>
      <c r="T23" s="136">
        <f>SUM(U23:X23)</f>
        <v>6938.2969999999996</v>
      </c>
      <c r="U23" s="135">
        <f>'NSDP thang'!T24</f>
        <v>0</v>
      </c>
      <c r="V23" s="135">
        <f>'NSDP thang'!U24</f>
        <v>0</v>
      </c>
      <c r="W23" s="135">
        <f>'NSDP thang'!V24</f>
        <v>6938.2969999999996</v>
      </c>
      <c r="X23" s="135">
        <f>'NSDP thang'!W24</f>
        <v>0</v>
      </c>
      <c r="Y23" s="136">
        <f>SUM(Z23:AC23)</f>
        <v>7200.19</v>
      </c>
      <c r="Z23" s="135">
        <f>'NSDP thang'!Y24</f>
        <v>0</v>
      </c>
      <c r="AA23" s="135">
        <f>'NSDP thang'!Z24</f>
        <v>0</v>
      </c>
      <c r="AB23" s="135">
        <f>'NSDP thang'!AA24</f>
        <v>7200.19</v>
      </c>
      <c r="AC23" s="135">
        <f>'NSDP thang'!AB24</f>
        <v>0</v>
      </c>
      <c r="AD23" s="136">
        <f>SUM(AE23:AH23)</f>
        <v>7200.19</v>
      </c>
      <c r="AE23" s="135">
        <f>'NSDP thang'!AD24</f>
        <v>0</v>
      </c>
      <c r="AF23" s="135">
        <f>'NSDP thang'!AE24</f>
        <v>0</v>
      </c>
      <c r="AG23" s="135">
        <f>'NSDP thang'!AF24</f>
        <v>7200.19</v>
      </c>
      <c r="AH23" s="135">
        <f>'NSDP thang'!AG24</f>
        <v>0</v>
      </c>
      <c r="AI23" s="360"/>
    </row>
    <row r="24" spans="1:35" s="4" customFormat="1" ht="15.75">
      <c r="A24" s="71"/>
      <c r="B24" s="72" t="s">
        <v>545</v>
      </c>
      <c r="C24" s="35"/>
      <c r="D24" s="35"/>
      <c r="E24" s="35"/>
      <c r="F24" s="35"/>
      <c r="G24" s="35"/>
      <c r="H24" s="130"/>
      <c r="I24" s="35"/>
      <c r="J24" s="29"/>
      <c r="K24" s="35"/>
      <c r="L24" s="15">
        <f>'NSDP thang'!K42</f>
        <v>88363.30799999999</v>
      </c>
      <c r="M24" s="15">
        <f>'NSDP thang'!L42</f>
        <v>4646</v>
      </c>
      <c r="N24" s="15"/>
      <c r="O24" s="2">
        <f>SUM(P24:S24)</f>
        <v>56311.565999999999</v>
      </c>
      <c r="P24" s="15"/>
      <c r="Q24" s="15">
        <f>'NSDP thang'!P42</f>
        <v>0</v>
      </c>
      <c r="R24" s="100">
        <f>'NSDP thang'!Q42</f>
        <v>56311.565999999999</v>
      </c>
      <c r="S24" s="15"/>
      <c r="T24" s="2">
        <f>SUM(U24:X24)</f>
        <v>47645.8145</v>
      </c>
      <c r="U24" s="15">
        <f>'NSDP thang'!T42</f>
        <v>0</v>
      </c>
      <c r="V24" s="15">
        <f>'NSDP thang'!U42</f>
        <v>0</v>
      </c>
      <c r="W24" s="15">
        <f>'NSDP thang'!V42</f>
        <v>47645.8145</v>
      </c>
      <c r="X24" s="15">
        <f>'NSDP thang'!W42</f>
        <v>0</v>
      </c>
      <c r="Y24" s="2">
        <f>SUM(Z24:AC24)</f>
        <v>56311.565999999999</v>
      </c>
      <c r="Z24" s="15">
        <f>'NSDP thang'!T42</f>
        <v>0</v>
      </c>
      <c r="AA24" s="15">
        <f>'NSDP thang'!U42</f>
        <v>0</v>
      </c>
      <c r="AB24" s="15">
        <f>'NSDP thang'!AA42</f>
        <v>56311.565999999999</v>
      </c>
      <c r="AC24" s="15">
        <f>'NSDP thang'!W42</f>
        <v>0</v>
      </c>
      <c r="AD24" s="2">
        <f>SUM(AE24:AH24)</f>
        <v>56311.565999999999</v>
      </c>
      <c r="AE24" s="15">
        <f>'NSDP thang'!AD42</f>
        <v>0</v>
      </c>
      <c r="AF24" s="15">
        <f>'NSDP thang'!AE42</f>
        <v>0</v>
      </c>
      <c r="AG24" s="15">
        <f>'NSDP thang'!AF42</f>
        <v>56311.565999999999</v>
      </c>
      <c r="AH24" s="15">
        <f>'NSDP thang'!AG42</f>
        <v>0</v>
      </c>
      <c r="AI24" s="357"/>
    </row>
    <row r="25" spans="1:35" s="16" customFormat="1" ht="31.5">
      <c r="A25" s="14" t="s">
        <v>64</v>
      </c>
      <c r="B25" s="101" t="s">
        <v>126</v>
      </c>
      <c r="C25" s="14"/>
      <c r="D25" s="1"/>
      <c r="E25" s="1"/>
      <c r="F25" s="1"/>
      <c r="G25" s="1"/>
      <c r="H25" s="26"/>
      <c r="I25" s="15"/>
      <c r="J25" s="15"/>
      <c r="K25" s="15"/>
      <c r="L25" s="2">
        <f>L26</f>
        <v>25305</v>
      </c>
      <c r="M25" s="2">
        <f t="shared" ref="M25:AH25" si="20">M26</f>
        <v>1406</v>
      </c>
      <c r="N25" s="2">
        <f t="shared" si="20"/>
        <v>0</v>
      </c>
      <c r="O25" s="2">
        <f t="shared" si="20"/>
        <v>6678.2440000000006</v>
      </c>
      <c r="P25" s="2">
        <f t="shared" si="20"/>
        <v>0</v>
      </c>
      <c r="Q25" s="2">
        <f t="shared" si="20"/>
        <v>0</v>
      </c>
      <c r="R25" s="2">
        <f t="shared" si="20"/>
        <v>6678.2440000000006</v>
      </c>
      <c r="S25" s="2">
        <f t="shared" si="20"/>
        <v>0</v>
      </c>
      <c r="T25" s="2">
        <f>T26</f>
        <v>6678.2440000000006</v>
      </c>
      <c r="U25" s="2">
        <f t="shared" si="20"/>
        <v>0</v>
      </c>
      <c r="V25" s="2">
        <f t="shared" si="20"/>
        <v>0</v>
      </c>
      <c r="W25" s="2">
        <f t="shared" si="20"/>
        <v>6678.2440000000006</v>
      </c>
      <c r="X25" s="2">
        <f t="shared" si="20"/>
        <v>0</v>
      </c>
      <c r="Y25" s="2">
        <f t="shared" si="20"/>
        <v>6678.2440000000006</v>
      </c>
      <c r="Z25" s="2">
        <f t="shared" si="20"/>
        <v>0</v>
      </c>
      <c r="AA25" s="2">
        <f t="shared" si="20"/>
        <v>0</v>
      </c>
      <c r="AB25" s="2">
        <f t="shared" si="20"/>
        <v>6678.2440000000006</v>
      </c>
      <c r="AC25" s="2">
        <f t="shared" si="20"/>
        <v>0</v>
      </c>
      <c r="AD25" s="2">
        <f t="shared" si="20"/>
        <v>6678.2440000000006</v>
      </c>
      <c r="AE25" s="2">
        <f t="shared" si="20"/>
        <v>0</v>
      </c>
      <c r="AF25" s="2">
        <f t="shared" si="20"/>
        <v>0</v>
      </c>
      <c r="AG25" s="2">
        <f t="shared" si="20"/>
        <v>6678.2440000000006</v>
      </c>
      <c r="AH25" s="2">
        <f t="shared" si="20"/>
        <v>0</v>
      </c>
      <c r="AI25" s="38"/>
    </row>
    <row r="26" spans="1:35" s="4" customFormat="1" ht="15.75">
      <c r="A26" s="43"/>
      <c r="B26" s="197" t="s">
        <v>36</v>
      </c>
      <c r="C26" s="43"/>
      <c r="D26" s="43"/>
      <c r="E26" s="43"/>
      <c r="F26" s="43"/>
      <c r="G26" s="43"/>
      <c r="H26" s="198"/>
      <c r="I26" s="43"/>
      <c r="J26" s="36"/>
      <c r="K26" s="43"/>
      <c r="L26" s="15">
        <f>'NSDP thang'!K74</f>
        <v>25305</v>
      </c>
      <c r="M26" s="15">
        <f>'NSDP thang'!L74</f>
        <v>1406</v>
      </c>
      <c r="N26" s="15"/>
      <c r="O26" s="2">
        <f>SUM(P26:S26)</f>
        <v>6678.2440000000006</v>
      </c>
      <c r="P26" s="15"/>
      <c r="Q26" s="15"/>
      <c r="R26" s="100">
        <f>'NSDP thang'!Q73</f>
        <v>6678.2440000000006</v>
      </c>
      <c r="S26" s="15"/>
      <c r="T26" s="2">
        <f>SUM(U26:X26)</f>
        <v>6678.2440000000006</v>
      </c>
      <c r="U26" s="15">
        <f>'NSDP thang'!T74</f>
        <v>0</v>
      </c>
      <c r="V26" s="15">
        <f>'NSDP thang'!U74</f>
        <v>0</v>
      </c>
      <c r="W26" s="15">
        <f>'NSDP thang'!V74</f>
        <v>6678.2440000000006</v>
      </c>
      <c r="X26" s="15">
        <f>'NSDP thang'!W74</f>
        <v>0</v>
      </c>
      <c r="Y26" s="2">
        <f>SUM(Z26:AC26)</f>
        <v>6678.2440000000006</v>
      </c>
      <c r="Z26" s="15">
        <f>'NSDP thang'!Y74</f>
        <v>0</v>
      </c>
      <c r="AA26" s="15">
        <f>'NSDP thang'!Z74</f>
        <v>0</v>
      </c>
      <c r="AB26" s="15">
        <f>'NSDP thang'!AA74</f>
        <v>6678.2440000000006</v>
      </c>
      <c r="AC26" s="15">
        <f>'NSDP thang'!AB74</f>
        <v>0</v>
      </c>
      <c r="AD26" s="2">
        <f>SUM(AE26:AH26)</f>
        <v>6678.2440000000006</v>
      </c>
      <c r="AE26" s="15">
        <f>'NSDP thang'!AD74</f>
        <v>0</v>
      </c>
      <c r="AF26" s="15">
        <f>'NSDP thang'!AE74</f>
        <v>0</v>
      </c>
      <c r="AG26" s="15">
        <f>'NSDP thang'!AF74</f>
        <v>6678.2440000000006</v>
      </c>
      <c r="AH26" s="15">
        <f>'NSDP thang'!AG74</f>
        <v>0</v>
      </c>
      <c r="AI26" s="357"/>
    </row>
    <row r="27" spans="1:35" s="16" customFormat="1" ht="31.5">
      <c r="A27" s="14" t="s">
        <v>156</v>
      </c>
      <c r="B27" s="101" t="s">
        <v>157</v>
      </c>
      <c r="C27" s="14"/>
      <c r="D27" s="1"/>
      <c r="E27" s="1"/>
      <c r="F27" s="1"/>
      <c r="G27" s="1"/>
      <c r="H27" s="26"/>
      <c r="I27" s="15"/>
      <c r="J27" s="15"/>
      <c r="K27" s="15"/>
      <c r="L27" s="2">
        <f>'NSDP thang'!K85</f>
        <v>9775</v>
      </c>
      <c r="M27" s="2"/>
      <c r="N27" s="2">
        <f t="shared" ref="N27:X27" si="21">N28+N29</f>
        <v>0</v>
      </c>
      <c r="O27" s="2">
        <f>SUM(P27:S27)</f>
        <v>600</v>
      </c>
      <c r="P27" s="2"/>
      <c r="Q27" s="2"/>
      <c r="R27" s="2">
        <f>'NSDP thang'!Q85</f>
        <v>600</v>
      </c>
      <c r="S27" s="2">
        <f t="shared" si="21"/>
        <v>0</v>
      </c>
      <c r="T27" s="2">
        <f>SUM(U27:X27)</f>
        <v>600</v>
      </c>
      <c r="U27" s="2">
        <f t="shared" si="21"/>
        <v>0</v>
      </c>
      <c r="V27" s="2">
        <f t="shared" si="21"/>
        <v>0</v>
      </c>
      <c r="W27" s="2">
        <f>'NSDP thang'!V85</f>
        <v>600</v>
      </c>
      <c r="X27" s="2">
        <f t="shared" si="21"/>
        <v>0</v>
      </c>
      <c r="Y27" s="2">
        <f>SUM(Z27:AC27)</f>
        <v>600</v>
      </c>
      <c r="Z27" s="2">
        <f t="shared" ref="Z27:AA27" si="22">Z28+Z29</f>
        <v>0</v>
      </c>
      <c r="AA27" s="2">
        <f t="shared" si="22"/>
        <v>0</v>
      </c>
      <c r="AB27" s="2">
        <f>'NSDP thang'!AA85</f>
        <v>600</v>
      </c>
      <c r="AC27" s="2">
        <f t="shared" ref="AC27" si="23">AC28+AC29</f>
        <v>0</v>
      </c>
      <c r="AD27" s="2">
        <f>SUM(AE27:AH27)</f>
        <v>600</v>
      </c>
      <c r="AE27" s="2">
        <f t="shared" ref="AE27:AF27" si="24">AE28+AE29</f>
        <v>0</v>
      </c>
      <c r="AF27" s="2">
        <f t="shared" si="24"/>
        <v>0</v>
      </c>
      <c r="AG27" s="2">
        <f>'NSDP thang'!AF85</f>
        <v>600</v>
      </c>
      <c r="AH27" s="2">
        <f t="shared" ref="AH27" si="25">AH28+AH29</f>
        <v>0</v>
      </c>
      <c r="AI27" s="38"/>
    </row>
    <row r="28" spans="1:35" s="16" customFormat="1" ht="31.5">
      <c r="A28" s="367">
        <v>2</v>
      </c>
      <c r="B28" s="90" t="s">
        <v>55</v>
      </c>
      <c r="C28" s="165"/>
      <c r="D28" s="12"/>
      <c r="E28" s="12"/>
      <c r="F28" s="1"/>
      <c r="G28" s="1"/>
      <c r="H28" s="26"/>
      <c r="I28" s="15"/>
      <c r="J28" s="15"/>
      <c r="K28" s="15"/>
      <c r="L28" s="11">
        <f>L29+L30</f>
        <v>3710</v>
      </c>
      <c r="M28" s="11">
        <f t="shared" ref="M28:Q28" si="26">M29+M30</f>
        <v>1224</v>
      </c>
      <c r="N28" s="11">
        <f t="shared" si="26"/>
        <v>0</v>
      </c>
      <c r="O28" s="11">
        <f t="shared" si="26"/>
        <v>17000</v>
      </c>
      <c r="P28" s="11">
        <f t="shared" si="26"/>
        <v>0</v>
      </c>
      <c r="Q28" s="11">
        <f t="shared" si="26"/>
        <v>0</v>
      </c>
      <c r="R28" s="11">
        <f>R29+R30</f>
        <v>17000</v>
      </c>
      <c r="S28" s="11">
        <f>S29+S30</f>
        <v>0</v>
      </c>
      <c r="T28" s="11">
        <f t="shared" ref="T28:X28" si="27">T29+T30</f>
        <v>12356.66</v>
      </c>
      <c r="U28" s="11">
        <f>U29+U30</f>
        <v>0</v>
      </c>
      <c r="V28" s="11">
        <f t="shared" si="27"/>
        <v>0</v>
      </c>
      <c r="W28" s="11">
        <f t="shared" si="27"/>
        <v>12356.66</v>
      </c>
      <c r="X28" s="11">
        <f t="shared" si="27"/>
        <v>0</v>
      </c>
      <c r="Y28" s="11">
        <f>Y29+Y30</f>
        <v>17000</v>
      </c>
      <c r="Z28" s="11">
        <f>Z29+Z30</f>
        <v>0</v>
      </c>
      <c r="AA28" s="11">
        <f>AA29+AA30</f>
        <v>0</v>
      </c>
      <c r="AB28" s="11">
        <f t="shared" ref="AB28:AC28" si="28">AB29+AB30</f>
        <v>17000</v>
      </c>
      <c r="AC28" s="11">
        <f t="shared" si="28"/>
        <v>0</v>
      </c>
      <c r="AD28" s="11">
        <f>AD29+AD30</f>
        <v>17000</v>
      </c>
      <c r="AE28" s="11">
        <f>AE29+AE30</f>
        <v>0</v>
      </c>
      <c r="AF28" s="11">
        <f t="shared" ref="AF28:AH28" si="29">AF29+AF30</f>
        <v>0</v>
      </c>
      <c r="AG28" s="11">
        <f t="shared" si="29"/>
        <v>17000</v>
      </c>
      <c r="AH28" s="11">
        <f t="shared" si="29"/>
        <v>0</v>
      </c>
      <c r="AI28" s="38"/>
    </row>
    <row r="29" spans="1:35" s="4" customFormat="1" ht="15.75">
      <c r="A29" s="71">
        <v>1</v>
      </c>
      <c r="B29" s="72" t="s">
        <v>36</v>
      </c>
      <c r="C29" s="52"/>
      <c r="D29" s="52"/>
      <c r="E29" s="52"/>
      <c r="F29" s="52"/>
      <c r="G29" s="52"/>
      <c r="H29" s="53"/>
      <c r="I29" s="52"/>
      <c r="J29" s="29"/>
      <c r="K29" s="52"/>
      <c r="L29" s="15"/>
      <c r="M29" s="15"/>
      <c r="N29" s="15"/>
      <c r="O29" s="2"/>
      <c r="P29" s="15"/>
      <c r="Q29" s="15"/>
      <c r="R29" s="100"/>
      <c r="S29" s="15"/>
      <c r="T29" s="33"/>
      <c r="U29" s="15"/>
      <c r="V29" s="15"/>
      <c r="W29" s="15"/>
      <c r="X29" s="2"/>
      <c r="Y29" s="33"/>
      <c r="Z29" s="15"/>
      <c r="AA29" s="15"/>
      <c r="AB29" s="15"/>
      <c r="AC29" s="2"/>
      <c r="AD29" s="33"/>
      <c r="AE29" s="15"/>
      <c r="AF29" s="15"/>
      <c r="AG29" s="15"/>
      <c r="AH29" s="2"/>
      <c r="AI29" s="357"/>
    </row>
    <row r="30" spans="1:35" s="4" customFormat="1" ht="15.75">
      <c r="A30" s="71">
        <v>2</v>
      </c>
      <c r="B30" s="72" t="s">
        <v>545</v>
      </c>
      <c r="C30" s="35"/>
      <c r="D30" s="35"/>
      <c r="E30" s="35"/>
      <c r="F30" s="35"/>
      <c r="G30" s="35"/>
      <c r="H30" s="130"/>
      <c r="I30" s="35"/>
      <c r="J30" s="29"/>
      <c r="K30" s="35"/>
      <c r="L30" s="15">
        <f>'NSDP thang'!K88</f>
        <v>3710</v>
      </c>
      <c r="M30" s="15">
        <f>'[2]NSDP thang'!M111</f>
        <v>1224</v>
      </c>
      <c r="N30" s="15"/>
      <c r="O30" s="2">
        <f>SUM(P30:S30)</f>
        <v>17000</v>
      </c>
      <c r="P30" s="15"/>
      <c r="Q30" s="15"/>
      <c r="R30" s="100">
        <v>17000</v>
      </c>
      <c r="S30" s="15"/>
      <c r="T30" s="2">
        <f>SUM(U30:X30)</f>
        <v>12356.66</v>
      </c>
      <c r="U30" s="124">
        <f>'NSDP thang'!T87</f>
        <v>0</v>
      </c>
      <c r="V30" s="124">
        <f>'NSDP thang'!U87</f>
        <v>0</v>
      </c>
      <c r="W30" s="124">
        <f>'NSDP thang'!V87</f>
        <v>12356.66</v>
      </c>
      <c r="X30" s="124">
        <f>'NSDP thang'!W87</f>
        <v>0</v>
      </c>
      <c r="Y30" s="2">
        <f>SUM(Z30:AC30)</f>
        <v>17000</v>
      </c>
      <c r="Z30" s="124">
        <f>'NSDP thang'!Y87</f>
        <v>0</v>
      </c>
      <c r="AA30" s="124">
        <f>'NSDP thang'!Z87</f>
        <v>0</v>
      </c>
      <c r="AB30" s="124">
        <f>'NSDP thang'!AA87</f>
        <v>17000</v>
      </c>
      <c r="AC30" s="124">
        <f>'NSDP thang'!AB87</f>
        <v>0</v>
      </c>
      <c r="AD30" s="2">
        <f>SUM(AE30:AH30)</f>
        <v>17000</v>
      </c>
      <c r="AE30" s="124">
        <f>'NSDP thang'!AD87</f>
        <v>0</v>
      </c>
      <c r="AF30" s="124">
        <f>'NSDP thang'!AE87</f>
        <v>0</v>
      </c>
      <c r="AG30" s="124">
        <f>'NSDP thang'!AF87</f>
        <v>17000</v>
      </c>
      <c r="AH30" s="124">
        <f>'NSDP thang'!AG87</f>
        <v>0</v>
      </c>
      <c r="AI30" s="357"/>
    </row>
    <row r="31" spans="1:35" s="16" customFormat="1" ht="15.75">
      <c r="A31" s="367">
        <v>3</v>
      </c>
      <c r="B31" s="90" t="s">
        <v>57</v>
      </c>
      <c r="C31" s="165"/>
      <c r="D31" s="12"/>
      <c r="E31" s="12"/>
      <c r="F31" s="1"/>
      <c r="G31" s="1"/>
      <c r="H31" s="26"/>
      <c r="I31" s="15"/>
      <c r="J31" s="15"/>
      <c r="K31" s="15"/>
      <c r="L31" s="11">
        <f>L32+L33</f>
        <v>69309</v>
      </c>
      <c r="M31" s="11">
        <f t="shared" ref="M31:X31" si="30">M32+M33</f>
        <v>6824</v>
      </c>
      <c r="N31" s="11">
        <f t="shared" si="30"/>
        <v>0</v>
      </c>
      <c r="O31" s="11">
        <f t="shared" si="30"/>
        <v>25740</v>
      </c>
      <c r="P31" s="11">
        <f t="shared" si="30"/>
        <v>0</v>
      </c>
      <c r="Q31" s="11">
        <f t="shared" si="30"/>
        <v>0</v>
      </c>
      <c r="R31" s="11">
        <f t="shared" si="30"/>
        <v>25740</v>
      </c>
      <c r="S31" s="11">
        <f t="shared" si="30"/>
        <v>0</v>
      </c>
      <c r="T31" s="11">
        <f t="shared" si="30"/>
        <v>20644.766</v>
      </c>
      <c r="U31" s="11">
        <f t="shared" si="30"/>
        <v>0</v>
      </c>
      <c r="V31" s="11">
        <f t="shared" si="30"/>
        <v>0</v>
      </c>
      <c r="W31" s="11">
        <f t="shared" si="30"/>
        <v>20644.766</v>
      </c>
      <c r="X31" s="11">
        <f t="shared" si="30"/>
        <v>0</v>
      </c>
      <c r="Y31" s="11">
        <f t="shared" ref="Y31:AC31" si="31">Y32+Y33</f>
        <v>25740</v>
      </c>
      <c r="Z31" s="11">
        <f t="shared" si="31"/>
        <v>0</v>
      </c>
      <c r="AA31" s="11">
        <f t="shared" si="31"/>
        <v>0</v>
      </c>
      <c r="AB31" s="11">
        <f t="shared" si="31"/>
        <v>25740</v>
      </c>
      <c r="AC31" s="11">
        <f t="shared" si="31"/>
        <v>0</v>
      </c>
      <c r="AD31" s="11">
        <f t="shared" ref="AD31:AH31" si="32">AD32+AD33</f>
        <v>25740</v>
      </c>
      <c r="AE31" s="11">
        <f t="shared" si="32"/>
        <v>0</v>
      </c>
      <c r="AF31" s="11">
        <f t="shared" si="32"/>
        <v>0</v>
      </c>
      <c r="AG31" s="11">
        <f t="shared" si="32"/>
        <v>25740</v>
      </c>
      <c r="AH31" s="11">
        <f t="shared" si="32"/>
        <v>0</v>
      </c>
      <c r="AI31" s="38"/>
    </row>
    <row r="32" spans="1:35" s="4" customFormat="1" ht="15.75">
      <c r="A32" s="43"/>
      <c r="B32" s="197" t="s">
        <v>36</v>
      </c>
      <c r="C32" s="43"/>
      <c r="D32" s="43"/>
      <c r="E32" s="43"/>
      <c r="F32" s="43"/>
      <c r="G32" s="43"/>
      <c r="H32" s="198"/>
      <c r="I32" s="43"/>
      <c r="J32" s="36"/>
      <c r="K32" s="43"/>
      <c r="L32" s="20">
        <f>'NSDP thang'!K98</f>
        <v>31435</v>
      </c>
      <c r="M32" s="20">
        <f>'NSDP thang'!L98</f>
        <v>1824</v>
      </c>
      <c r="N32" s="20"/>
      <c r="O32" s="2">
        <f>SUM(P32:S32)</f>
        <v>5760</v>
      </c>
      <c r="P32" s="20"/>
      <c r="Q32" s="20"/>
      <c r="R32" s="20">
        <f>'NSDP thang'!Q98</f>
        <v>5760</v>
      </c>
      <c r="S32" s="20"/>
      <c r="T32" s="2">
        <f>SUM(U32:X32)</f>
        <v>4247.335</v>
      </c>
      <c r="U32" s="20">
        <f>'NSDP thang'!T98</f>
        <v>0</v>
      </c>
      <c r="V32" s="20">
        <f>'NSDP thang'!U98</f>
        <v>0</v>
      </c>
      <c r="W32" s="20">
        <f>'NSDP thang'!V98</f>
        <v>4247.335</v>
      </c>
      <c r="X32" s="20">
        <f>'NSDP thang'!W98</f>
        <v>0</v>
      </c>
      <c r="Y32" s="2">
        <f>SUM(Z32:AC32)</f>
        <v>5760</v>
      </c>
      <c r="Z32" s="20">
        <f>'NSDP thang'!Y98</f>
        <v>0</v>
      </c>
      <c r="AA32" s="20">
        <f>'NSDP thang'!Z98</f>
        <v>0</v>
      </c>
      <c r="AB32" s="20">
        <f>'NSDP thang'!AA98</f>
        <v>5760</v>
      </c>
      <c r="AC32" s="20">
        <f>'NSDP thang'!AB98</f>
        <v>0</v>
      </c>
      <c r="AD32" s="2">
        <f>SUM(AE32:AH32)</f>
        <v>5760</v>
      </c>
      <c r="AE32" s="20">
        <f>'NSDP thang'!AD98</f>
        <v>0</v>
      </c>
      <c r="AF32" s="20">
        <f>'NSDP thang'!AE98</f>
        <v>0</v>
      </c>
      <c r="AG32" s="20">
        <f>'NSDP thang'!AF98</f>
        <v>5760</v>
      </c>
      <c r="AH32" s="20">
        <f>'NSDP thang'!AG98</f>
        <v>0</v>
      </c>
      <c r="AI32" s="357"/>
    </row>
    <row r="33" spans="1:35" s="4" customFormat="1" ht="15.75">
      <c r="A33" s="35"/>
      <c r="B33" s="297" t="s">
        <v>56</v>
      </c>
      <c r="C33" s="35"/>
      <c r="D33" s="35"/>
      <c r="E33" s="35"/>
      <c r="F33" s="35"/>
      <c r="G33" s="35"/>
      <c r="H33" s="130"/>
      <c r="I33" s="35"/>
      <c r="J33" s="29"/>
      <c r="K33" s="35"/>
      <c r="L33" s="18">
        <f>'NSDP thang'!K101</f>
        <v>37874</v>
      </c>
      <c r="M33" s="18">
        <f>'NSDP thang'!L101</f>
        <v>5000</v>
      </c>
      <c r="N33" s="18"/>
      <c r="O33" s="2">
        <f>SUM(P33:S33)</f>
        <v>19980</v>
      </c>
      <c r="P33" s="18"/>
      <c r="Q33" s="18"/>
      <c r="R33" s="18">
        <f>'NSDP thang'!Q101</f>
        <v>19980</v>
      </c>
      <c r="S33" s="18"/>
      <c r="T33" s="2">
        <f>SUM(U33:X33)</f>
        <v>16397.431</v>
      </c>
      <c r="U33" s="124">
        <f>'NSDP thang'!T101</f>
        <v>0</v>
      </c>
      <c r="V33" s="124">
        <f>'NSDP thang'!U101</f>
        <v>0</v>
      </c>
      <c r="W33" s="124">
        <f>'NSDP thang'!V101</f>
        <v>16397.431</v>
      </c>
      <c r="X33" s="124">
        <f>'NSDP thang'!W101</f>
        <v>0</v>
      </c>
      <c r="Y33" s="2">
        <f>SUM(Z33:AC33)</f>
        <v>19980</v>
      </c>
      <c r="Z33" s="124">
        <f>'NSDP thang'!Y101</f>
        <v>0</v>
      </c>
      <c r="AA33" s="124">
        <f>'NSDP thang'!Z101</f>
        <v>0</v>
      </c>
      <c r="AB33" s="124">
        <f>'NSDP thang'!AA101</f>
        <v>19980</v>
      </c>
      <c r="AC33" s="124">
        <f>'NSDP thang'!AB101</f>
        <v>0</v>
      </c>
      <c r="AD33" s="2">
        <f>SUM(AE33:AH33)</f>
        <v>19980</v>
      </c>
      <c r="AE33" s="124">
        <f>'NSDP thang'!AD101</f>
        <v>0</v>
      </c>
      <c r="AF33" s="124">
        <f>'NSDP thang'!AE101</f>
        <v>0</v>
      </c>
      <c r="AG33" s="124">
        <f>'NSDP thang'!AF101</f>
        <v>19980</v>
      </c>
      <c r="AH33" s="124">
        <f>'NSDP thang'!AG101</f>
        <v>0</v>
      </c>
      <c r="AI33" s="357"/>
    </row>
    <row r="34" spans="1:35" s="39" customFormat="1" ht="94.5">
      <c r="A34" s="367">
        <v>4</v>
      </c>
      <c r="B34" s="184" t="s">
        <v>152</v>
      </c>
      <c r="C34" s="52"/>
      <c r="D34" s="52"/>
      <c r="E34" s="52"/>
      <c r="F34" s="52"/>
      <c r="G34" s="52"/>
      <c r="H34" s="53"/>
      <c r="I34" s="52"/>
      <c r="J34" s="54"/>
      <c r="K34" s="52"/>
      <c r="L34" s="98">
        <f>L35+L36</f>
        <v>35119.123</v>
      </c>
      <c r="M34" s="98">
        <f t="shared" ref="M34:X34" si="33">M35+M36</f>
        <v>1099.7649980000001</v>
      </c>
      <c r="N34" s="98">
        <f t="shared" si="33"/>
        <v>0</v>
      </c>
      <c r="O34" s="98">
        <f t="shared" si="33"/>
        <v>12795</v>
      </c>
      <c r="P34" s="98">
        <f t="shared" si="33"/>
        <v>0</v>
      </c>
      <c r="Q34" s="98">
        <f t="shared" si="33"/>
        <v>0</v>
      </c>
      <c r="R34" s="98">
        <f t="shared" si="33"/>
        <v>12795</v>
      </c>
      <c r="S34" s="98">
        <f t="shared" si="33"/>
        <v>0</v>
      </c>
      <c r="T34" s="98">
        <f>T35+T36</f>
        <v>11586.025</v>
      </c>
      <c r="U34" s="98">
        <f t="shared" si="33"/>
        <v>0</v>
      </c>
      <c r="V34" s="98">
        <f t="shared" si="33"/>
        <v>0</v>
      </c>
      <c r="W34" s="98">
        <f t="shared" si="33"/>
        <v>11586.025</v>
      </c>
      <c r="X34" s="98">
        <f t="shared" si="33"/>
        <v>0</v>
      </c>
      <c r="Y34" s="98">
        <f t="shared" ref="Y34:AC34" si="34">Y35+Y36</f>
        <v>12795</v>
      </c>
      <c r="Z34" s="98">
        <f t="shared" si="34"/>
        <v>0</v>
      </c>
      <c r="AA34" s="98">
        <f t="shared" si="34"/>
        <v>0</v>
      </c>
      <c r="AB34" s="98">
        <f t="shared" si="34"/>
        <v>12795</v>
      </c>
      <c r="AC34" s="98">
        <f t="shared" si="34"/>
        <v>0</v>
      </c>
      <c r="AD34" s="98">
        <f t="shared" ref="AD34:AH34" si="35">AD35+AD36</f>
        <v>12795</v>
      </c>
      <c r="AE34" s="98">
        <f t="shared" si="35"/>
        <v>0</v>
      </c>
      <c r="AF34" s="98">
        <f t="shared" si="35"/>
        <v>0</v>
      </c>
      <c r="AG34" s="98">
        <f t="shared" si="35"/>
        <v>12795</v>
      </c>
      <c r="AH34" s="98">
        <f t="shared" si="35"/>
        <v>0</v>
      </c>
      <c r="AI34" s="361"/>
    </row>
    <row r="35" spans="1:35" s="4" customFormat="1" ht="15.75">
      <c r="A35" s="35">
        <v>1</v>
      </c>
      <c r="B35" s="297" t="str">
        <f>'NSDP thang'!B104</f>
        <v>Dự án chuyển tiếp</v>
      </c>
      <c r="C35" s="35"/>
      <c r="D35" s="35"/>
      <c r="E35" s="35"/>
      <c r="F35" s="35"/>
      <c r="G35" s="35"/>
      <c r="H35" s="130"/>
      <c r="I35" s="35"/>
      <c r="J35" s="29"/>
      <c r="K35" s="35"/>
      <c r="L35" s="18">
        <f>'NSDP thang'!K104</f>
        <v>15786.123000000001</v>
      </c>
      <c r="M35" s="18">
        <f>'NSDP thang'!L104</f>
        <v>571.76499799999999</v>
      </c>
      <c r="N35" s="18"/>
      <c r="O35" s="2">
        <f>SUM(P35:S35)</f>
        <v>3095</v>
      </c>
      <c r="P35" s="18"/>
      <c r="Q35" s="18"/>
      <c r="R35" s="18">
        <f>'NSDP thang'!Q104</f>
        <v>3095</v>
      </c>
      <c r="S35" s="18"/>
      <c r="T35" s="2">
        <f>SUM(U35:X35)</f>
        <v>3095</v>
      </c>
      <c r="U35" s="124">
        <f>'NSDP thang'!T104</f>
        <v>0</v>
      </c>
      <c r="V35" s="124">
        <f>'NSDP thang'!U104</f>
        <v>0</v>
      </c>
      <c r="W35" s="124">
        <f>'NSDP thang'!V104</f>
        <v>3095</v>
      </c>
      <c r="X35" s="124">
        <f>'NSDP thang'!W104</f>
        <v>0</v>
      </c>
      <c r="Y35" s="2">
        <f>SUM(Z35:AC35)</f>
        <v>3095</v>
      </c>
      <c r="Z35" s="124">
        <f>'NSDP thang'!Y104</f>
        <v>0</v>
      </c>
      <c r="AA35" s="124">
        <f>'NSDP thang'!Z104</f>
        <v>0</v>
      </c>
      <c r="AB35" s="124">
        <f>'NSDP thang'!AA104</f>
        <v>3095</v>
      </c>
      <c r="AC35" s="124">
        <f>'NSDP thang'!AB104</f>
        <v>0</v>
      </c>
      <c r="AD35" s="2">
        <f>SUM(AE35:AH35)</f>
        <v>3095</v>
      </c>
      <c r="AE35" s="124">
        <f>'NSDP thang'!AD104</f>
        <v>0</v>
      </c>
      <c r="AF35" s="124">
        <f>'NSDP thang'!AE104</f>
        <v>0</v>
      </c>
      <c r="AG35" s="124">
        <f>'NSDP thang'!AF104</f>
        <v>3095</v>
      </c>
      <c r="AH35" s="124">
        <f>'NSDP thang'!AG104</f>
        <v>0</v>
      </c>
      <c r="AI35" s="357"/>
    </row>
    <row r="36" spans="1:35" s="4" customFormat="1" ht="15.75">
      <c r="A36" s="35">
        <v>2</v>
      </c>
      <c r="B36" s="296" t="s">
        <v>281</v>
      </c>
      <c r="C36" s="35"/>
      <c r="D36" s="35"/>
      <c r="E36" s="35"/>
      <c r="F36" s="35"/>
      <c r="G36" s="35"/>
      <c r="H36" s="130"/>
      <c r="I36" s="35"/>
      <c r="J36" s="29"/>
      <c r="K36" s="35"/>
      <c r="L36" s="18">
        <f>'NSDP thang'!K110</f>
        <v>19333</v>
      </c>
      <c r="M36" s="18">
        <f>'NSDP thang'!L110</f>
        <v>528</v>
      </c>
      <c r="N36" s="18"/>
      <c r="O36" s="2">
        <f>SUM(P36:S36)</f>
        <v>9700</v>
      </c>
      <c r="P36" s="18"/>
      <c r="Q36" s="18"/>
      <c r="R36" s="18">
        <f>'NSDP thang'!Q110</f>
        <v>9700</v>
      </c>
      <c r="S36" s="18"/>
      <c r="T36" s="2">
        <f>SUM(U36:X36)</f>
        <v>8491.0249999999996</v>
      </c>
      <c r="U36" s="124">
        <f>'NSDP thang'!T110</f>
        <v>0</v>
      </c>
      <c r="V36" s="124">
        <f>'NSDP thang'!U110</f>
        <v>0</v>
      </c>
      <c r="W36" s="124">
        <f>'NSDP thang'!V110</f>
        <v>8491.0249999999996</v>
      </c>
      <c r="X36" s="124">
        <f>'NSDP thang'!W110</f>
        <v>0</v>
      </c>
      <c r="Y36" s="2">
        <f>SUM(Z36:AC36)</f>
        <v>9700</v>
      </c>
      <c r="Z36" s="124">
        <f>'NSDP thang'!Y110</f>
        <v>0</v>
      </c>
      <c r="AA36" s="124">
        <f>'NSDP thang'!Z110</f>
        <v>0</v>
      </c>
      <c r="AB36" s="124">
        <f>'NSDP thang'!AA110</f>
        <v>9700</v>
      </c>
      <c r="AC36" s="124">
        <f>'NSDP thang'!AB110</f>
        <v>0</v>
      </c>
      <c r="AD36" s="2">
        <f>SUM(AE36:AH36)</f>
        <v>9700</v>
      </c>
      <c r="AE36" s="124">
        <f>'NSDP thang'!AD110</f>
        <v>0</v>
      </c>
      <c r="AF36" s="124">
        <f>'NSDP thang'!AE110</f>
        <v>0</v>
      </c>
      <c r="AG36" s="124">
        <f>'NSDP thang'!AF110</f>
        <v>9700</v>
      </c>
      <c r="AH36" s="124">
        <f>'NSDP thang'!AG110</f>
        <v>0</v>
      </c>
      <c r="AI36" s="357"/>
    </row>
    <row r="37" spans="1:35" s="4" customFormat="1" ht="31.5">
      <c r="A37" s="367">
        <v>5</v>
      </c>
      <c r="B37" s="184" t="str">
        <f>'NSDP thang'!B177</f>
        <v>Hỗ trợ xây dựng cơ sở vất chất giáo dục</v>
      </c>
      <c r="C37" s="35"/>
      <c r="D37" s="35"/>
      <c r="E37" s="35"/>
      <c r="F37" s="35"/>
      <c r="G37" s="35"/>
      <c r="H37" s="130"/>
      <c r="I37" s="35"/>
      <c r="J37" s="29"/>
      <c r="K37" s="35"/>
      <c r="L37" s="98">
        <f>L38</f>
        <v>19441.215</v>
      </c>
      <c r="M37" s="98">
        <f t="shared" ref="M37:AH37" si="36">M38</f>
        <v>836.67534199999989</v>
      </c>
      <c r="N37" s="98">
        <f t="shared" si="36"/>
        <v>0</v>
      </c>
      <c r="O37" s="98">
        <f t="shared" si="36"/>
        <v>10500</v>
      </c>
      <c r="P37" s="98">
        <f t="shared" si="36"/>
        <v>0</v>
      </c>
      <c r="Q37" s="98">
        <f t="shared" si="36"/>
        <v>0</v>
      </c>
      <c r="R37" s="98">
        <f t="shared" si="36"/>
        <v>10500</v>
      </c>
      <c r="S37" s="98">
        <f t="shared" si="36"/>
        <v>0</v>
      </c>
      <c r="T37" s="98">
        <f t="shared" si="36"/>
        <v>10037.478999999999</v>
      </c>
      <c r="U37" s="98">
        <f t="shared" si="36"/>
        <v>0</v>
      </c>
      <c r="V37" s="98">
        <f t="shared" si="36"/>
        <v>0</v>
      </c>
      <c r="W37" s="98">
        <f t="shared" si="36"/>
        <v>10037.478999999999</v>
      </c>
      <c r="X37" s="98">
        <f t="shared" si="36"/>
        <v>0</v>
      </c>
      <c r="Y37" s="98">
        <f t="shared" si="36"/>
        <v>10500</v>
      </c>
      <c r="Z37" s="98">
        <f t="shared" si="36"/>
        <v>0</v>
      </c>
      <c r="AA37" s="98">
        <f t="shared" si="36"/>
        <v>0</v>
      </c>
      <c r="AB37" s="98">
        <f t="shared" si="36"/>
        <v>10500</v>
      </c>
      <c r="AC37" s="98">
        <f t="shared" si="36"/>
        <v>0</v>
      </c>
      <c r="AD37" s="98">
        <f t="shared" si="36"/>
        <v>10500</v>
      </c>
      <c r="AE37" s="98">
        <f t="shared" si="36"/>
        <v>0</v>
      </c>
      <c r="AF37" s="98">
        <f t="shared" si="36"/>
        <v>0</v>
      </c>
      <c r="AG37" s="98">
        <f t="shared" si="36"/>
        <v>10500</v>
      </c>
      <c r="AH37" s="98">
        <f t="shared" si="36"/>
        <v>0</v>
      </c>
      <c r="AI37" s="357"/>
    </row>
    <row r="38" spans="1:35" s="4" customFormat="1" ht="15.75">
      <c r="A38" s="14"/>
      <c r="B38" s="296" t="str">
        <f>'NSDP thang'!B179</f>
        <v xml:space="preserve">Các dự án đầu tư mới năm 2024 </v>
      </c>
      <c r="C38" s="35"/>
      <c r="D38" s="35"/>
      <c r="E38" s="35"/>
      <c r="F38" s="35"/>
      <c r="G38" s="35"/>
      <c r="H38" s="130"/>
      <c r="I38" s="35"/>
      <c r="J38" s="29"/>
      <c r="K38" s="35"/>
      <c r="L38" s="18">
        <f>'NSDP thang'!K179</f>
        <v>19441.215</v>
      </c>
      <c r="M38" s="18">
        <f>'NSDP thang'!L179</f>
        <v>836.67534199999989</v>
      </c>
      <c r="N38" s="18"/>
      <c r="O38" s="2">
        <f>SUM(P38:S38)</f>
        <v>10500</v>
      </c>
      <c r="P38" s="18"/>
      <c r="Q38" s="18"/>
      <c r="R38" s="18">
        <f>'NSDP thang'!Q179</f>
        <v>10500</v>
      </c>
      <c r="S38" s="18"/>
      <c r="T38" s="19">
        <f>SUM(U38:X38)</f>
        <v>10037.478999999999</v>
      </c>
      <c r="U38" s="124">
        <f>'NSDP thang'!T179</f>
        <v>0</v>
      </c>
      <c r="V38" s="124">
        <f>'NSDP thang'!U179</f>
        <v>0</v>
      </c>
      <c r="W38" s="124">
        <f>'NSDP thang'!V179</f>
        <v>10037.478999999999</v>
      </c>
      <c r="X38" s="124">
        <f>'NSDP thang'!W179</f>
        <v>0</v>
      </c>
      <c r="Y38" s="2">
        <f>SUM(Z38:AC38)</f>
        <v>10500</v>
      </c>
      <c r="Z38" s="18">
        <f>'NSDP thang'!Y179</f>
        <v>0</v>
      </c>
      <c r="AA38" s="18">
        <f>'NSDP thang'!Z179</f>
        <v>0</v>
      </c>
      <c r="AB38" s="18">
        <f>'NSDP thang'!AA179</f>
        <v>10500</v>
      </c>
      <c r="AC38" s="18">
        <f>'NSDP thang'!AB179</f>
        <v>0</v>
      </c>
      <c r="AD38" s="2">
        <f>SUM(AE38:AH38)</f>
        <v>10500</v>
      </c>
      <c r="AE38" s="18">
        <f>'NSDP thang'!AD179</f>
        <v>0</v>
      </c>
      <c r="AF38" s="18">
        <f>'NSDP thang'!AE179</f>
        <v>0</v>
      </c>
      <c r="AG38" s="18">
        <f>'NSDP thang'!AF179</f>
        <v>10500</v>
      </c>
      <c r="AH38" s="18">
        <f>'NSDP thang'!AG179</f>
        <v>0</v>
      </c>
      <c r="AI38" s="357"/>
    </row>
    <row r="39" spans="1:35" s="16" customFormat="1" ht="15.75">
      <c r="A39" s="368" t="s">
        <v>10</v>
      </c>
      <c r="B39" s="165" t="s">
        <v>65</v>
      </c>
      <c r="C39" s="165"/>
      <c r="D39" s="12"/>
      <c r="E39" s="12"/>
      <c r="F39" s="1"/>
      <c r="G39" s="1"/>
      <c r="H39" s="26"/>
      <c r="I39" s="15"/>
      <c r="J39" s="15"/>
      <c r="K39" s="15"/>
      <c r="L39" s="11">
        <f t="shared" ref="L39:AH39" si="37">+SUM(L40:L45)</f>
        <v>509299.375</v>
      </c>
      <c r="M39" s="11">
        <f t="shared" si="37"/>
        <v>14781.609560999999</v>
      </c>
      <c r="N39" s="11">
        <f t="shared" si="37"/>
        <v>0</v>
      </c>
      <c r="O39" s="11">
        <f t="shared" si="37"/>
        <v>67620.255999999994</v>
      </c>
      <c r="P39" s="11">
        <f t="shared" si="37"/>
        <v>10620</v>
      </c>
      <c r="Q39" s="11">
        <f t="shared" si="37"/>
        <v>57000.255999999994</v>
      </c>
      <c r="R39" s="11">
        <f t="shared" si="37"/>
        <v>0</v>
      </c>
      <c r="S39" s="11">
        <f t="shared" si="37"/>
        <v>0</v>
      </c>
      <c r="T39" s="11">
        <f>+SUM(T40:T45)</f>
        <v>56452.000500000002</v>
      </c>
      <c r="U39" s="11">
        <f t="shared" si="37"/>
        <v>9598.9759999999987</v>
      </c>
      <c r="V39" s="11">
        <f t="shared" si="37"/>
        <v>46853.0245</v>
      </c>
      <c r="W39" s="11">
        <f t="shared" si="37"/>
        <v>0</v>
      </c>
      <c r="X39" s="11">
        <f t="shared" si="37"/>
        <v>0</v>
      </c>
      <c r="Y39" s="11">
        <f t="shared" si="37"/>
        <v>67620.255999999994</v>
      </c>
      <c r="Z39" s="11">
        <f t="shared" si="37"/>
        <v>10620</v>
      </c>
      <c r="AA39" s="11">
        <f t="shared" si="37"/>
        <v>57000.255999999994</v>
      </c>
      <c r="AB39" s="11">
        <f t="shared" si="37"/>
        <v>0</v>
      </c>
      <c r="AC39" s="11">
        <f t="shared" si="37"/>
        <v>0</v>
      </c>
      <c r="AD39" s="11">
        <f t="shared" si="37"/>
        <v>67620.255999999994</v>
      </c>
      <c r="AE39" s="11">
        <f t="shared" si="37"/>
        <v>10620</v>
      </c>
      <c r="AF39" s="11">
        <f t="shared" si="37"/>
        <v>57000.255999999994</v>
      </c>
      <c r="AG39" s="11">
        <f t="shared" si="37"/>
        <v>0</v>
      </c>
      <c r="AH39" s="11">
        <f t="shared" si="37"/>
        <v>0</v>
      </c>
      <c r="AI39" s="38"/>
    </row>
    <row r="40" spans="1:35" s="125" customFormat="1" ht="31.5">
      <c r="A40" s="207">
        <v>1</v>
      </c>
      <c r="B40" s="179" t="s">
        <v>127</v>
      </c>
      <c r="C40" s="75"/>
      <c r="D40" s="76"/>
      <c r="E40" s="77"/>
      <c r="F40" s="75"/>
      <c r="G40" s="78"/>
      <c r="H40" s="79"/>
      <c r="I40" s="77"/>
      <c r="J40" s="128"/>
      <c r="K40" s="75"/>
      <c r="L40" s="124">
        <v>2000</v>
      </c>
      <c r="M40" s="124"/>
      <c r="N40" s="124"/>
      <c r="O40" s="129">
        <f>SUM(P40:S40)</f>
        <v>2500</v>
      </c>
      <c r="P40" s="124">
        <f>'NSDP thang'!O189</f>
        <v>2500</v>
      </c>
      <c r="Q40" s="124">
        <f>'NSDP thang'!P189</f>
        <v>0</v>
      </c>
      <c r="R40" s="124">
        <f>'NSDP thang'!Q189</f>
        <v>0</v>
      </c>
      <c r="S40" s="124">
        <f>'NSDP thang'!R189</f>
        <v>0</v>
      </c>
      <c r="T40" s="129">
        <f>SUM(U40:X40)</f>
        <v>2500</v>
      </c>
      <c r="U40" s="124">
        <f>'NSDP thang'!T189</f>
        <v>2500</v>
      </c>
      <c r="V40" s="124">
        <f>'NSDP thang'!U189</f>
        <v>0</v>
      </c>
      <c r="W40" s="124">
        <f>'NSDP thang'!V189</f>
        <v>0</v>
      </c>
      <c r="X40" s="124">
        <f>'NSDP thang'!W189</f>
        <v>0</v>
      </c>
      <c r="Y40" s="129">
        <f>SUM(Z40:AC40)</f>
        <v>2500</v>
      </c>
      <c r="Z40" s="124">
        <f>'NSDP thang'!Y189</f>
        <v>2500</v>
      </c>
      <c r="AA40" s="124">
        <f>'NSDP thang'!Z189</f>
        <v>0</v>
      </c>
      <c r="AB40" s="124">
        <f>'NSDP thang'!AA189</f>
        <v>0</v>
      </c>
      <c r="AC40" s="124">
        <f>'NSDP thang'!AB189</f>
        <v>0</v>
      </c>
      <c r="AD40" s="129">
        <f>SUM(AE40:AH40)</f>
        <v>2500</v>
      </c>
      <c r="AE40" s="124">
        <f>'NSDP thang'!AD189</f>
        <v>2500</v>
      </c>
      <c r="AF40" s="124">
        <f>'NSDP thang'!AE189</f>
        <v>0</v>
      </c>
      <c r="AG40" s="124">
        <f>'NSDP thang'!AF189</f>
        <v>0</v>
      </c>
      <c r="AH40" s="124">
        <f>'NSDP thang'!AG189</f>
        <v>0</v>
      </c>
      <c r="AI40" s="124"/>
    </row>
    <row r="41" spans="1:35" s="125" customFormat="1" ht="32.25" customHeight="1">
      <c r="A41" s="207">
        <v>2</v>
      </c>
      <c r="B41" s="56" t="s">
        <v>145</v>
      </c>
      <c r="C41" s="55"/>
      <c r="D41" s="41"/>
      <c r="E41" s="41"/>
      <c r="F41" s="122"/>
      <c r="G41" s="69"/>
      <c r="H41" s="57"/>
      <c r="I41" s="123"/>
      <c r="J41" s="66"/>
      <c r="K41" s="41"/>
      <c r="L41" s="124">
        <f>'[2]NSDP thang'!L123</f>
        <v>284279.027</v>
      </c>
      <c r="M41" s="124">
        <f>'[2]NSDP thang'!M123</f>
        <v>8699.8619999999992</v>
      </c>
      <c r="N41" s="124"/>
      <c r="O41" s="129">
        <f>SUM(P41:S41)</f>
        <v>5907.8294999999998</v>
      </c>
      <c r="P41" s="124">
        <f>'NSDP thang'!O190</f>
        <v>890.03900000000021</v>
      </c>
      <c r="Q41" s="124">
        <f>'NSDP thang'!P190</f>
        <v>5017.7905000000001</v>
      </c>
      <c r="R41" s="124">
        <f>'NSDP thang'!Q190</f>
        <v>0</v>
      </c>
      <c r="S41" s="124">
        <f>'NSDP thang'!R190</f>
        <v>0</v>
      </c>
      <c r="T41" s="129">
        <f>SUM(U41:X41)</f>
        <v>5482.0335000000005</v>
      </c>
      <c r="U41" s="124">
        <f>'NSDP thang'!T190</f>
        <v>932.31100000000026</v>
      </c>
      <c r="V41" s="124">
        <f>'NSDP thang'!U190</f>
        <v>4549.7224999999999</v>
      </c>
      <c r="W41" s="124">
        <f>'NSDP thang'!V190</f>
        <v>0</v>
      </c>
      <c r="X41" s="124">
        <f>'NSDP thang'!W190</f>
        <v>0</v>
      </c>
      <c r="Y41" s="129">
        <f>SUM(Z41:AC41)</f>
        <v>5907.8294999999998</v>
      </c>
      <c r="Z41" s="124">
        <f>'NSDP thang'!Y190</f>
        <v>890.03900000000021</v>
      </c>
      <c r="AA41" s="124">
        <f>'NSDP thang'!Z190</f>
        <v>5017.7905000000001</v>
      </c>
      <c r="AB41" s="124">
        <f>'NSDP thang'!AA190</f>
        <v>0</v>
      </c>
      <c r="AC41" s="124">
        <f>'NSDP thang'!AB190</f>
        <v>0</v>
      </c>
      <c r="AD41" s="129">
        <f>SUM(AE41:AH41)</f>
        <v>5907.8294999999998</v>
      </c>
      <c r="AE41" s="124">
        <f>'NSDP thang'!AD190</f>
        <v>890.03900000000021</v>
      </c>
      <c r="AF41" s="124">
        <f>'NSDP thang'!AE190</f>
        <v>5017.7905000000001</v>
      </c>
      <c r="AG41" s="124">
        <f>'NSDP thang'!AF190</f>
        <v>0</v>
      </c>
      <c r="AH41" s="124">
        <f>'NSDP thang'!AG190</f>
        <v>0</v>
      </c>
      <c r="AI41" s="124"/>
    </row>
    <row r="42" spans="1:35" s="125" customFormat="1" ht="25.5" customHeight="1">
      <c r="A42" s="207">
        <v>3</v>
      </c>
      <c r="B42" s="31" t="s">
        <v>59</v>
      </c>
      <c r="C42" s="23"/>
      <c r="D42" s="23"/>
      <c r="E42" s="23"/>
      <c r="F42" s="23"/>
      <c r="G42" s="30"/>
      <c r="H42" s="28"/>
      <c r="I42" s="22"/>
      <c r="J42" s="126"/>
      <c r="K42" s="23"/>
      <c r="L42" s="124">
        <f>'NSDP thang'!K272</f>
        <v>67672.034</v>
      </c>
      <c r="M42" s="124"/>
      <c r="N42" s="124"/>
      <c r="O42" s="129">
        <f>SUM(P42:S42)</f>
        <v>2697.4650000000001</v>
      </c>
      <c r="P42" s="124">
        <f>'NSDP thang'!O272</f>
        <v>2695.9270000000001</v>
      </c>
      <c r="Q42" s="124">
        <f>'NSDP thang'!P272</f>
        <v>1.538</v>
      </c>
      <c r="R42" s="124">
        <f>'NSDP thang'!Q272</f>
        <v>0</v>
      </c>
      <c r="S42" s="124">
        <f>'NSDP thang'!R272</f>
        <v>0</v>
      </c>
      <c r="T42" s="129">
        <f t="shared" ref="T42:T45" si="38">SUM(U42:X42)</f>
        <v>1942.45</v>
      </c>
      <c r="U42" s="124">
        <f>'NSDP thang'!T272</f>
        <v>1940.912</v>
      </c>
      <c r="V42" s="124">
        <f>'NSDP thang'!U272</f>
        <v>1.538</v>
      </c>
      <c r="W42" s="124">
        <f>'NSDP thang'!V272</f>
        <v>0</v>
      </c>
      <c r="X42" s="124">
        <f>'NSDP thang'!W272</f>
        <v>0</v>
      </c>
      <c r="Y42" s="129">
        <f t="shared" ref="Y42:Y44" si="39">SUM(Z42:AC42)</f>
        <v>2697.4650000000001</v>
      </c>
      <c r="Z42" s="124">
        <f>'NSDP thang'!Y272</f>
        <v>2695.9270000000001</v>
      </c>
      <c r="AA42" s="124">
        <f>'NSDP thang'!Z272</f>
        <v>1.538</v>
      </c>
      <c r="AB42" s="124">
        <f>'NSDP thang'!AA272</f>
        <v>0</v>
      </c>
      <c r="AC42" s="124">
        <f>'NSDP thang'!AB272</f>
        <v>0</v>
      </c>
      <c r="AD42" s="129">
        <f t="shared" ref="AD42:AD44" si="40">SUM(AE42:AH42)</f>
        <v>2697.4650000000001</v>
      </c>
      <c r="AE42" s="124">
        <f>'NSDP thang'!AD272</f>
        <v>2695.9270000000001</v>
      </c>
      <c r="AF42" s="124">
        <f>'NSDP thang'!AE272</f>
        <v>1.538</v>
      </c>
      <c r="AG42" s="124">
        <f>'NSDP thang'!AF272</f>
        <v>0</v>
      </c>
      <c r="AH42" s="124">
        <f>'NSDP thang'!AG272</f>
        <v>0</v>
      </c>
      <c r="AI42" s="362"/>
    </row>
    <row r="43" spans="1:35" s="125" customFormat="1" ht="38.25" customHeight="1">
      <c r="A43" s="207">
        <v>4</v>
      </c>
      <c r="B43" s="31" t="s">
        <v>600</v>
      </c>
      <c r="C43" s="23"/>
      <c r="D43" s="23"/>
      <c r="E43" s="23"/>
      <c r="F43" s="23"/>
      <c r="G43" s="30"/>
      <c r="H43" s="28"/>
      <c r="I43" s="22"/>
      <c r="J43" s="126"/>
      <c r="K43" s="23"/>
      <c r="L43" s="124">
        <f>'NSDP thang'!K277</f>
        <v>6070.3680000000004</v>
      </c>
      <c r="M43" s="124"/>
      <c r="N43" s="124"/>
      <c r="O43" s="129">
        <f t="shared" ref="O43:O45" si="41">SUM(P43:S43)</f>
        <v>1019.207</v>
      </c>
      <c r="P43" s="124">
        <f>'NSDP thang'!O277</f>
        <v>0</v>
      </c>
      <c r="Q43" s="124">
        <f>'NSDP thang'!P277</f>
        <v>1019.207</v>
      </c>
      <c r="R43" s="124">
        <f>'NSDP thang'!Q277</f>
        <v>0</v>
      </c>
      <c r="S43" s="124">
        <f>'NSDP thang'!R277</f>
        <v>0</v>
      </c>
      <c r="T43" s="129">
        <f t="shared" si="38"/>
        <v>1019.207</v>
      </c>
      <c r="U43" s="124">
        <f>'NSDP thang'!T277</f>
        <v>0</v>
      </c>
      <c r="V43" s="124">
        <f>'NSDP thang'!U277</f>
        <v>1019.207</v>
      </c>
      <c r="W43" s="124">
        <f>'NSDP thang'!V277</f>
        <v>0</v>
      </c>
      <c r="X43" s="124">
        <f>'NSDP thang'!W277</f>
        <v>0</v>
      </c>
      <c r="Y43" s="129">
        <f>SUM(Z43:AC43)</f>
        <v>1019.207</v>
      </c>
      <c r="Z43" s="124">
        <f>'NSDP thang'!Y277</f>
        <v>0</v>
      </c>
      <c r="AA43" s="124">
        <f>'NSDP thang'!Z277</f>
        <v>1019.207</v>
      </c>
      <c r="AB43" s="124">
        <f>'NSDP thang'!AA277</f>
        <v>0</v>
      </c>
      <c r="AC43" s="124">
        <f>'NSDP thang'!AB277</f>
        <v>0</v>
      </c>
      <c r="AD43" s="129">
        <f t="shared" si="40"/>
        <v>1019.207</v>
      </c>
      <c r="AE43" s="124">
        <f>'NSDP thang'!AD277</f>
        <v>0</v>
      </c>
      <c r="AF43" s="124">
        <f>'NSDP thang'!AE277</f>
        <v>1019.207</v>
      </c>
      <c r="AG43" s="124">
        <f>'NSDP thang'!AF277</f>
        <v>0</v>
      </c>
      <c r="AH43" s="124">
        <f>'NSDP thang'!AG277</f>
        <v>0</v>
      </c>
      <c r="AI43" s="362"/>
    </row>
    <row r="44" spans="1:35" s="125" customFormat="1" ht="36" customHeight="1">
      <c r="A44" s="207">
        <v>5</v>
      </c>
      <c r="B44" s="22" t="str">
        <f>'NSDP thang'!B284</f>
        <v>Đối ứng xây dựng Đề án Công an xã</v>
      </c>
      <c r="C44" s="61"/>
      <c r="D44" s="61"/>
      <c r="E44" s="61"/>
      <c r="F44" s="61"/>
      <c r="G44" s="120"/>
      <c r="H44" s="121"/>
      <c r="I44" s="62"/>
      <c r="J44" s="127"/>
      <c r="K44" s="61"/>
      <c r="L44" s="124">
        <f>'NSDP thang'!K284</f>
        <v>25249.822</v>
      </c>
      <c r="M44" s="124"/>
      <c r="N44" s="124"/>
      <c r="O44" s="129">
        <f t="shared" si="41"/>
        <v>3859.4560000000001</v>
      </c>
      <c r="P44" s="124">
        <f>'NSDP thang'!O284</f>
        <v>3230.9810000000002</v>
      </c>
      <c r="Q44" s="124">
        <f>'NSDP thang'!P284</f>
        <v>628.47500000000002</v>
      </c>
      <c r="R44" s="124">
        <f>'NSDP thang'!Q284</f>
        <v>0</v>
      </c>
      <c r="S44" s="124">
        <f>'NSDP thang'!R284</f>
        <v>0</v>
      </c>
      <c r="T44" s="129">
        <f t="shared" si="38"/>
        <v>3593.2</v>
      </c>
      <c r="U44" s="124">
        <f>'NSDP thang'!T284</f>
        <v>2982.7</v>
      </c>
      <c r="V44" s="124">
        <f>'NSDP thang'!U284</f>
        <v>610.5</v>
      </c>
      <c r="W44" s="124">
        <f>'NSDP thang'!V284</f>
        <v>0</v>
      </c>
      <c r="X44" s="124">
        <f>'NSDP thang'!W284</f>
        <v>0</v>
      </c>
      <c r="Y44" s="129">
        <f t="shared" si="39"/>
        <v>3859.4560000000001</v>
      </c>
      <c r="Z44" s="124">
        <f>'NSDP thang'!Y284</f>
        <v>3230.9810000000002</v>
      </c>
      <c r="AA44" s="124">
        <f>'NSDP thang'!Z284</f>
        <v>628.47500000000002</v>
      </c>
      <c r="AB44" s="124">
        <f>'NSDP thang'!AA284</f>
        <v>0</v>
      </c>
      <c r="AC44" s="124">
        <f>'NSDP thang'!AB284</f>
        <v>0</v>
      </c>
      <c r="AD44" s="129">
        <f t="shared" si="40"/>
        <v>3859.4560000000001</v>
      </c>
      <c r="AE44" s="124">
        <f>'NSDP thang'!AD284</f>
        <v>3230.9810000000002</v>
      </c>
      <c r="AF44" s="124">
        <f>'NSDP thang'!AE284</f>
        <v>628.47500000000002</v>
      </c>
      <c r="AG44" s="124">
        <f>'NSDP thang'!AF284</f>
        <v>0</v>
      </c>
      <c r="AH44" s="124">
        <f>'NSDP thang'!AG284</f>
        <v>0</v>
      </c>
      <c r="AI44" s="362"/>
    </row>
    <row r="45" spans="1:35" s="125" customFormat="1" ht="31.5">
      <c r="A45" s="207">
        <v>6</v>
      </c>
      <c r="B45" s="60" t="s">
        <v>60</v>
      </c>
      <c r="C45" s="61"/>
      <c r="D45" s="62"/>
      <c r="E45" s="63"/>
      <c r="F45" s="61"/>
      <c r="G45" s="64"/>
      <c r="H45" s="65"/>
      <c r="I45" s="63"/>
      <c r="J45" s="127"/>
      <c r="K45" s="61"/>
      <c r="L45" s="124">
        <f>'NSDP thang'!K294</f>
        <v>124028.124</v>
      </c>
      <c r="M45" s="124">
        <f>'NSDP thang'!L294</f>
        <v>6081.7475610000001</v>
      </c>
      <c r="N45" s="124"/>
      <c r="O45" s="129">
        <f t="shared" si="41"/>
        <v>51636.298499999997</v>
      </c>
      <c r="P45" s="124">
        <f>'NSDP thang'!O294</f>
        <v>1303.0529999999999</v>
      </c>
      <c r="Q45" s="124">
        <f>'NSDP thang'!P294</f>
        <v>50333.245499999997</v>
      </c>
      <c r="R45" s="124">
        <f>'NSDP thang'!Q294</f>
        <v>0</v>
      </c>
      <c r="S45" s="124">
        <f>'NSDP thang'!R294</f>
        <v>0</v>
      </c>
      <c r="T45" s="129">
        <f t="shared" si="38"/>
        <v>41915.11</v>
      </c>
      <c r="U45" s="124">
        <f>'NSDP thang'!T294</f>
        <v>1243.0529999999999</v>
      </c>
      <c r="V45" s="124">
        <f>'NSDP thang'!U294</f>
        <v>40672.057000000001</v>
      </c>
      <c r="W45" s="124">
        <f>'NSDP thang'!V294</f>
        <v>0</v>
      </c>
      <c r="X45" s="124">
        <f>'NSDP thang'!W294</f>
        <v>0</v>
      </c>
      <c r="Y45" s="129">
        <f>SUM(Z45:AC45)</f>
        <v>51636.298499999997</v>
      </c>
      <c r="Z45" s="124">
        <f>'NSDP thang'!Y294</f>
        <v>1303.0529999999999</v>
      </c>
      <c r="AA45" s="124">
        <f>'NSDP thang'!Z294</f>
        <v>50333.245499999997</v>
      </c>
      <c r="AB45" s="124">
        <f>'NSDP thang'!AA294</f>
        <v>0</v>
      </c>
      <c r="AC45" s="124">
        <f>'NSDP thang'!AB294</f>
        <v>0</v>
      </c>
      <c r="AD45" s="129">
        <f>SUM(AE45:AH45)</f>
        <v>51636.298499999997</v>
      </c>
      <c r="AE45" s="124">
        <f>'NSDP thang'!AD294</f>
        <v>1303.0529999999999</v>
      </c>
      <c r="AF45" s="124">
        <f>'NSDP thang'!AE294</f>
        <v>50333.245499999997</v>
      </c>
      <c r="AG45" s="124">
        <f>'NSDP thang'!AF294</f>
        <v>0</v>
      </c>
      <c r="AH45" s="124">
        <f>'NSDP thang'!AG294</f>
        <v>0</v>
      </c>
      <c r="AI45" s="362"/>
    </row>
    <row r="46" spans="1:35" s="16" customFormat="1" ht="31.5">
      <c r="A46" s="367" t="s">
        <v>58</v>
      </c>
      <c r="B46" s="165" t="s">
        <v>67</v>
      </c>
      <c r="C46" s="165"/>
      <c r="D46" s="12"/>
      <c r="E46" s="12"/>
      <c r="F46" s="1"/>
      <c r="G46" s="1"/>
      <c r="H46" s="26"/>
      <c r="I46" s="15"/>
      <c r="J46" s="15"/>
      <c r="K46" s="15"/>
      <c r="L46" s="11">
        <f>L47</f>
        <v>85989.584000000003</v>
      </c>
      <c r="M46" s="11">
        <f t="shared" ref="M46:AH46" si="42">M47</f>
        <v>3154</v>
      </c>
      <c r="N46" s="11">
        <f t="shared" si="42"/>
        <v>0</v>
      </c>
      <c r="O46" s="11">
        <f t="shared" si="42"/>
        <v>31345.09</v>
      </c>
      <c r="P46" s="11">
        <f t="shared" si="42"/>
        <v>0</v>
      </c>
      <c r="Q46" s="11">
        <f t="shared" si="42"/>
        <v>0</v>
      </c>
      <c r="R46" s="11">
        <f t="shared" si="42"/>
        <v>0</v>
      </c>
      <c r="S46" s="11">
        <f t="shared" si="42"/>
        <v>31345.09</v>
      </c>
      <c r="T46" s="11">
        <f t="shared" si="42"/>
        <v>31345.09</v>
      </c>
      <c r="U46" s="11">
        <f t="shared" si="42"/>
        <v>0</v>
      </c>
      <c r="V46" s="11">
        <f t="shared" si="42"/>
        <v>0</v>
      </c>
      <c r="W46" s="11">
        <f t="shared" si="42"/>
        <v>0</v>
      </c>
      <c r="X46" s="11">
        <f t="shared" si="42"/>
        <v>31345.09</v>
      </c>
      <c r="Y46" s="11">
        <f t="shared" si="42"/>
        <v>31345.09</v>
      </c>
      <c r="Z46" s="11">
        <f t="shared" si="42"/>
        <v>0</v>
      </c>
      <c r="AA46" s="11">
        <f t="shared" si="42"/>
        <v>0</v>
      </c>
      <c r="AB46" s="11">
        <f t="shared" si="42"/>
        <v>0</v>
      </c>
      <c r="AC46" s="11">
        <f t="shared" si="42"/>
        <v>31345.09</v>
      </c>
      <c r="AD46" s="11">
        <f t="shared" si="42"/>
        <v>31345.09</v>
      </c>
      <c r="AE46" s="11">
        <f t="shared" si="42"/>
        <v>0</v>
      </c>
      <c r="AF46" s="11">
        <f t="shared" si="42"/>
        <v>0</v>
      </c>
      <c r="AG46" s="11">
        <f t="shared" si="42"/>
        <v>0</v>
      </c>
      <c r="AH46" s="11">
        <f t="shared" si="42"/>
        <v>31345.09</v>
      </c>
      <c r="AI46" s="38"/>
    </row>
    <row r="47" spans="1:35" s="4" customFormat="1" ht="45" customHeight="1">
      <c r="A47" s="66">
        <v>1</v>
      </c>
      <c r="B47" s="67" t="s">
        <v>28</v>
      </c>
      <c r="C47" s="41"/>
      <c r="D47" s="68"/>
      <c r="E47" s="42"/>
      <c r="F47" s="41"/>
      <c r="G47" s="69"/>
      <c r="H47" s="70"/>
      <c r="I47" s="42"/>
      <c r="J47" s="36"/>
      <c r="K47" s="43"/>
      <c r="L47" s="108">
        <f>'[2]NSDP thang'!L268</f>
        <v>85989.584000000003</v>
      </c>
      <c r="M47" s="108">
        <f>'[2]NSDP thang'!M268</f>
        <v>3154</v>
      </c>
      <c r="N47" s="108"/>
      <c r="O47" s="119">
        <f>SUM(P47:S47)</f>
        <v>31345.09</v>
      </c>
      <c r="P47" s="108"/>
      <c r="Q47" s="108"/>
      <c r="R47" s="108"/>
      <c r="S47" s="108">
        <f>'NSDP thang'!N363</f>
        <v>31345.09</v>
      </c>
      <c r="T47" s="108">
        <f>SUM(U47:X47)</f>
        <v>31345.09</v>
      </c>
      <c r="U47" s="108"/>
      <c r="V47" s="108"/>
      <c r="W47" s="108"/>
      <c r="X47" s="108">
        <f>'NSDP thang'!W363</f>
        <v>31345.09</v>
      </c>
      <c r="Y47" s="108">
        <f>SUM(Z47:AC47)</f>
        <v>31345.09</v>
      </c>
      <c r="Z47" s="108"/>
      <c r="AA47" s="108"/>
      <c r="AB47" s="108"/>
      <c r="AC47" s="108">
        <f>'NSDP thang'!AB363</f>
        <v>31345.09</v>
      </c>
      <c r="AD47" s="108">
        <f>SUM(AE47:AH47)</f>
        <v>31345.09</v>
      </c>
      <c r="AE47" s="108"/>
      <c r="AF47" s="108"/>
      <c r="AG47" s="108"/>
      <c r="AH47" s="108">
        <f>'NSDP thang'!AG363</f>
        <v>31345.09</v>
      </c>
      <c r="AI47" s="357"/>
    </row>
  </sheetData>
  <mergeCells count="44">
    <mergeCell ref="AF1:AG1"/>
    <mergeCell ref="A1:N1"/>
    <mergeCell ref="K6:K8"/>
    <mergeCell ref="L6:M6"/>
    <mergeCell ref="L7:L8"/>
    <mergeCell ref="T6:X6"/>
    <mergeCell ref="P7:P8"/>
    <mergeCell ref="Q7:Q8"/>
    <mergeCell ref="N6:N8"/>
    <mergeCell ref="O6:S6"/>
    <mergeCell ref="R7:R8"/>
    <mergeCell ref="S7:S8"/>
    <mergeCell ref="A2:AG2"/>
    <mergeCell ref="A3:AG3"/>
    <mergeCell ref="A4:AG4"/>
    <mergeCell ref="A6:A8"/>
    <mergeCell ref="B6:B8"/>
    <mergeCell ref="C6:C8"/>
    <mergeCell ref="D6:D8"/>
    <mergeCell ref="E6:E8"/>
    <mergeCell ref="F6:F8"/>
    <mergeCell ref="G6:G8"/>
    <mergeCell ref="AD6:AH6"/>
    <mergeCell ref="AD7:AD8"/>
    <mergeCell ref="AE7:AE8"/>
    <mergeCell ref="AF7:AF8"/>
    <mergeCell ref="H6:H8"/>
    <mergeCell ref="I6:I8"/>
    <mergeCell ref="J6:J8"/>
    <mergeCell ref="M7:M8"/>
    <mergeCell ref="O7:O8"/>
    <mergeCell ref="Y6:AC6"/>
    <mergeCell ref="Y7:Y8"/>
    <mergeCell ref="Z7:Z8"/>
    <mergeCell ref="AA7:AA8"/>
    <mergeCell ref="AB7:AB8"/>
    <mergeCell ref="AC7:AC8"/>
    <mergeCell ref="AG7:AG8"/>
    <mergeCell ref="AH7:AH8"/>
    <mergeCell ref="T7:T8"/>
    <mergeCell ref="U7:U8"/>
    <mergeCell ref="V7:V8"/>
    <mergeCell ref="W7:W8"/>
    <mergeCell ref="X7:X8"/>
  </mergeCells>
  <pageMargins left="0.31" right="0.24" top="0.75" bottom="0.75" header="0.3" footer="0.3"/>
  <pageSetup paperSize="9" scale="64" fitToHeight="0" orientation="landscape" r:id="rId1"/>
  <headerFooter>
    <oddHeader>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NSDP thang</vt:lpstr>
      <vt:lpstr>Tổng hợp</vt:lpstr>
      <vt:lpstr>'NSDP thang'!Print_Area</vt:lpstr>
      <vt:lpstr>'Tổng hợp'!Print_Area</vt:lpstr>
      <vt:lpstr>'NSDP thang'!Print_Titles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2024-09-26T06:43:33Z</cp:lastPrinted>
  <dcterms:created xsi:type="dcterms:W3CDTF">2018-01-23T06:52:35Z</dcterms:created>
  <dcterms:modified xsi:type="dcterms:W3CDTF">2024-12-05T10:16:56Z</dcterms:modified>
</cp:coreProperties>
</file>